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.계약\1. 백남준아트센터 계약(2025)\53. 산책로 환경개선공사(김충선)_입찰\입찰공고\"/>
    </mc:Choice>
  </mc:AlternateContent>
  <bookViews>
    <workbookView xWindow="0" yWindow="0" windowWidth="28800" windowHeight="12165" activeTab="2"/>
  </bookViews>
  <sheets>
    <sheet name="공사원가계산서" sheetId="3" r:id="rId1"/>
    <sheet name="총괄내역서" sheetId="4" r:id="rId2"/>
    <sheet name="설계내역서" sheetId="5" r:id="rId3"/>
    <sheet name="〓 INITIAL 〓" sheetId="17" state="veryHidden" r:id="rId4"/>
  </sheets>
  <definedNames>
    <definedName name="_xlnm.Print_Area" localSheetId="0">공사원가계산서!$A:$F</definedName>
    <definedName name="_xlnm.Print_Area" localSheetId="2">설계내역서!$A:$N</definedName>
    <definedName name="_xlnm.Print_Area" localSheetId="1">총괄내역서!$A:$G</definedName>
    <definedName name="_xlnm.Print_Titles" localSheetId="0">공사원가계산서!$1:$4</definedName>
    <definedName name="_xlnm.Print_Titles" localSheetId="2">설계내역서!$1:$4</definedName>
    <definedName name="_xlnm.Print_Titles" localSheetId="1">총괄내역서!$1:$3</definedName>
  </definedNames>
  <calcPr calcId="162913"/>
</workbook>
</file>

<file path=xl/calcChain.xml><?xml version="1.0" encoding="utf-8"?>
<calcChain xmlns="http://schemas.openxmlformats.org/spreadsheetml/2006/main">
  <c r="J24" i="4" l="1"/>
  <c r="J29" i="4"/>
  <c r="J30" i="4"/>
  <c r="L24" i="4"/>
  <c r="L29" i="4"/>
  <c r="L30" i="4"/>
  <c r="D4" i="17" l="1"/>
  <c r="D6" i="17"/>
  <c r="C6" i="17" s="1"/>
  <c r="D7" i="17"/>
  <c r="C7" i="17" s="1"/>
  <c r="D8" i="17"/>
  <c r="C8" i="17" s="1"/>
  <c r="D10" i="17"/>
  <c r="C10" i="17" s="1"/>
  <c r="D11" i="17"/>
  <c r="C11" i="17" s="1"/>
  <c r="D13" i="17"/>
  <c r="C13" i="17" s="1"/>
  <c r="D14" i="17"/>
  <c r="C14" i="17" s="1"/>
  <c r="D15" i="17"/>
  <c r="C15" i="17" s="1"/>
  <c r="D16" i="17"/>
  <c r="C16" i="17" s="1"/>
  <c r="D17" i="17"/>
  <c r="C17" i="17" s="1"/>
  <c r="D18" i="17"/>
  <c r="C18" i="17" s="1"/>
  <c r="D19" i="17"/>
  <c r="C19" i="17" s="1"/>
  <c r="K19" i="17" s="1"/>
  <c r="D20" i="17"/>
  <c r="C20" i="17" s="1"/>
  <c r="N20" i="17" s="1"/>
  <c r="D24" i="17"/>
  <c r="D33" i="17"/>
  <c r="C35" i="17"/>
  <c r="D35" i="17"/>
  <c r="E35" i="17"/>
  <c r="F35" i="17"/>
  <c r="G35" i="17"/>
  <c r="H35" i="17"/>
  <c r="I35" i="17"/>
  <c r="J35" i="17"/>
  <c r="D52" i="17"/>
  <c r="D75" i="17"/>
  <c r="F24" i="3"/>
  <c r="F25" i="3"/>
  <c r="F27" i="3"/>
  <c r="O2" i="5"/>
  <c r="O5" i="5"/>
  <c r="O6" i="5"/>
  <c r="O19" i="5"/>
  <c r="O27" i="5"/>
  <c r="O29" i="5"/>
  <c r="O35" i="5"/>
  <c r="O36" i="5"/>
  <c r="K37" i="5"/>
  <c r="M37" i="5"/>
  <c r="K38" i="5"/>
  <c r="M38" i="5"/>
  <c r="K39" i="5"/>
  <c r="M39" i="5"/>
  <c r="K40" i="5"/>
  <c r="M40" i="5"/>
  <c r="K41" i="5"/>
  <c r="M41" i="5"/>
  <c r="K42" i="5"/>
  <c r="M42" i="5"/>
  <c r="K43" i="5"/>
  <c r="M43" i="5"/>
  <c r="K44" i="5"/>
  <c r="M44" i="5"/>
  <c r="K45" i="5"/>
  <c r="M45" i="5"/>
  <c r="I46" i="5"/>
  <c r="K46" i="5"/>
  <c r="O47" i="5"/>
  <c r="K48" i="5"/>
  <c r="M48" i="5"/>
  <c r="I49" i="5"/>
  <c r="K49" i="5"/>
  <c r="K33" i="5"/>
  <c r="M33" i="5"/>
  <c r="M18" i="5"/>
  <c r="H2" i="4"/>
  <c r="E11" i="4"/>
  <c r="F10" i="3" s="1"/>
  <c r="E12" i="4"/>
  <c r="F13" i="3" s="1"/>
  <c r="E13" i="4"/>
  <c r="F14" i="3" s="1"/>
  <c r="E14" i="4"/>
  <c r="F15" i="3" s="1"/>
  <c r="E15" i="4"/>
  <c r="F16" i="3" s="1"/>
  <c r="E16" i="4"/>
  <c r="F17" i="3" s="1"/>
  <c r="E17" i="4"/>
  <c r="F18" i="3" s="1"/>
  <c r="E19" i="4"/>
  <c r="F20" i="3" s="1"/>
  <c r="E20" i="4"/>
  <c r="F21" i="3" s="1"/>
  <c r="E21" i="4"/>
  <c r="F22" i="3" s="1"/>
  <c r="E23" i="4"/>
  <c r="E27" i="4"/>
  <c r="D29" i="3"/>
  <c r="E29" i="4"/>
  <c r="F29" i="3" s="1"/>
  <c r="D30" i="3"/>
  <c r="E30" i="4"/>
  <c r="F30" i="3" s="1"/>
  <c r="J11" i="17" l="1"/>
  <c r="P11" i="17"/>
  <c r="R11" i="17"/>
  <c r="J14" i="17"/>
  <c r="I14" i="17"/>
  <c r="K14" i="17"/>
  <c r="R14" i="17"/>
  <c r="J15" i="17"/>
  <c r="I15" i="17"/>
  <c r="U15" i="17"/>
  <c r="K15" i="17"/>
  <c r="W15" i="17"/>
  <c r="N15" i="17"/>
  <c r="O15" i="17"/>
  <c r="G15" i="17"/>
  <c r="T15" i="17"/>
  <c r="Q15" i="17"/>
  <c r="J13" i="17"/>
  <c r="P13" i="17"/>
  <c r="R13" i="17"/>
  <c r="K13" i="17"/>
  <c r="G13" i="17"/>
  <c r="I13" i="17"/>
  <c r="P19" i="17"/>
  <c r="G14" i="17"/>
  <c r="K11" i="17"/>
  <c r="O19" i="17"/>
  <c r="I11" i="17"/>
  <c r="J19" i="17"/>
  <c r="G11" i="17"/>
  <c r="L20" i="17"/>
  <c r="I19" i="17"/>
  <c r="P14" i="17"/>
  <c r="G7" i="4"/>
  <c r="I48" i="5"/>
  <c r="I41" i="5"/>
  <c r="G41" i="5" s="1"/>
  <c r="I44" i="5"/>
  <c r="G44" i="5" s="1"/>
  <c r="I40" i="5"/>
  <c r="G40" i="5" s="1"/>
  <c r="I38" i="5"/>
  <c r="G38" i="5" s="1"/>
  <c r="K18" i="5"/>
  <c r="I42" i="5"/>
  <c r="G42" i="5" s="1"/>
  <c r="I43" i="5"/>
  <c r="G43" i="5" s="1"/>
  <c r="I39" i="5"/>
  <c r="G39" i="5" s="1"/>
  <c r="I37" i="5"/>
  <c r="I45" i="5"/>
  <c r="G45" i="5" s="1"/>
  <c r="K10" i="17"/>
  <c r="E10" i="17"/>
  <c r="L10" i="17"/>
  <c r="F10" i="17"/>
  <c r="X10" i="17"/>
  <c r="G10" i="17"/>
  <c r="I10" i="17"/>
  <c r="J10" i="17"/>
  <c r="H18" i="17"/>
  <c r="N18" i="17"/>
  <c r="X18" i="17"/>
  <c r="I18" i="17"/>
  <c r="O18" i="17"/>
  <c r="J18" i="17"/>
  <c r="P18" i="17"/>
  <c r="K18" i="17"/>
  <c r="Q18" i="17"/>
  <c r="F18" i="17"/>
  <c r="L18" i="17"/>
  <c r="R18" i="17"/>
  <c r="G18" i="17"/>
  <c r="M18" i="17"/>
  <c r="S18" i="17"/>
  <c r="I8" i="17"/>
  <c r="J8" i="17"/>
  <c r="K8" i="17"/>
  <c r="L8" i="17"/>
  <c r="F8" i="17"/>
  <c r="X8" i="17"/>
  <c r="G8" i="17"/>
  <c r="K17" i="17"/>
  <c r="Q17" i="17"/>
  <c r="E17" i="17"/>
  <c r="L17" i="17"/>
  <c r="X17" i="17"/>
  <c r="F17" i="17"/>
  <c r="M17" i="17"/>
  <c r="G17" i="17"/>
  <c r="N17" i="17"/>
  <c r="I17" i="17"/>
  <c r="O17" i="17"/>
  <c r="J17" i="17"/>
  <c r="P17" i="17"/>
  <c r="L7" i="17"/>
  <c r="F7" i="17"/>
  <c r="X7" i="17"/>
  <c r="G7" i="17"/>
  <c r="I7" i="17"/>
  <c r="J7" i="17"/>
  <c r="K7" i="17"/>
  <c r="J16" i="17"/>
  <c r="P16" i="17"/>
  <c r="E16" i="17"/>
  <c r="K16" i="17"/>
  <c r="Q16" i="17"/>
  <c r="F16" i="17"/>
  <c r="L16" i="17"/>
  <c r="R16" i="17"/>
  <c r="G16" i="17"/>
  <c r="M16" i="17"/>
  <c r="S16" i="17"/>
  <c r="H16" i="17"/>
  <c r="N16" i="17"/>
  <c r="X16" i="17"/>
  <c r="I16" i="17"/>
  <c r="O16" i="17"/>
  <c r="I6" i="17"/>
  <c r="J6" i="17"/>
  <c r="K6" i="17"/>
  <c r="L6" i="17"/>
  <c r="F6" i="17"/>
  <c r="X6" i="17"/>
  <c r="G6" i="17"/>
  <c r="K20" i="17"/>
  <c r="X19" i="17"/>
  <c r="N19" i="17"/>
  <c r="H19" i="17"/>
  <c r="S15" i="17"/>
  <c r="M15" i="17"/>
  <c r="F15" i="17"/>
  <c r="N14" i="17"/>
  <c r="F14" i="17"/>
  <c r="N13" i="17"/>
  <c r="F13" i="17"/>
  <c r="N11" i="17"/>
  <c r="F11" i="17"/>
  <c r="X20" i="17"/>
  <c r="J20" i="17"/>
  <c r="S19" i="17"/>
  <c r="M19" i="17"/>
  <c r="G19" i="17"/>
  <c r="X15" i="17"/>
  <c r="R15" i="17"/>
  <c r="L15" i="17"/>
  <c r="L14" i="17"/>
  <c r="L13" i="17"/>
  <c r="L11" i="17"/>
  <c r="R20" i="17"/>
  <c r="F20" i="17"/>
  <c r="R19" i="17"/>
  <c r="L19" i="17"/>
  <c r="F19" i="17"/>
  <c r="P20" i="17"/>
  <c r="E20" i="17"/>
  <c r="Q19" i="17"/>
  <c r="V15" i="17"/>
  <c r="P15" i="17"/>
  <c r="X14" i="17"/>
  <c r="X13" i="17"/>
  <c r="X11" i="17"/>
  <c r="C4" i="17" l="1"/>
  <c r="F9" i="4"/>
  <c r="M30" i="5"/>
  <c r="G48" i="5"/>
  <c r="G37" i="5"/>
  <c r="M32" i="5"/>
  <c r="M31" i="5"/>
  <c r="E9" i="4" l="1"/>
  <c r="M46" i="5"/>
  <c r="M49" i="5"/>
  <c r="I18" i="5"/>
  <c r="G18" i="5" s="1"/>
  <c r="F18" i="5"/>
  <c r="K31" i="5"/>
  <c r="K30" i="5"/>
  <c r="G8" i="4"/>
  <c r="F8" i="4" l="1"/>
  <c r="K32" i="5"/>
  <c r="F33" i="5"/>
  <c r="I33" i="5"/>
  <c r="G33" i="5" s="1"/>
  <c r="M23" i="5"/>
  <c r="M24" i="5"/>
  <c r="M26" i="5"/>
  <c r="G49" i="5"/>
  <c r="G46" i="5"/>
  <c r="G9" i="4"/>
  <c r="D9" i="4" l="1"/>
  <c r="K24" i="5" l="1"/>
  <c r="K8" i="5"/>
  <c r="K14" i="5"/>
  <c r="K10" i="5"/>
  <c r="K12" i="5"/>
  <c r="K7" i="5"/>
  <c r="K13" i="5"/>
  <c r="K11" i="5"/>
  <c r="K9" i="5"/>
  <c r="M16" i="5"/>
  <c r="M17" i="5"/>
  <c r="M15" i="5"/>
  <c r="K15" i="5"/>
  <c r="K16" i="5"/>
  <c r="K17" i="5"/>
  <c r="K23" i="5"/>
  <c r="K26" i="5"/>
  <c r="M21" i="5"/>
  <c r="M25" i="5"/>
  <c r="F5" i="4" l="1"/>
  <c r="F26" i="5"/>
  <c r="I26" i="5"/>
  <c r="G26" i="5" s="1"/>
  <c r="F7" i="4"/>
  <c r="M22" i="5" l="1"/>
  <c r="M20" i="5"/>
  <c r="G6" i="4" s="1"/>
  <c r="F24" i="5" l="1"/>
  <c r="I24" i="5"/>
  <c r="G24" i="5" s="1"/>
  <c r="I23" i="5"/>
  <c r="G23" i="5" s="1"/>
  <c r="F23" i="5"/>
  <c r="I7" i="5" l="1"/>
  <c r="I14" i="5"/>
  <c r="I13" i="5"/>
  <c r="I11" i="5"/>
  <c r="I8" i="5"/>
  <c r="I12" i="5"/>
  <c r="I9" i="5"/>
  <c r="I10" i="5"/>
  <c r="F15" i="5" l="1"/>
  <c r="I15" i="5"/>
  <c r="G15" i="5" s="1"/>
  <c r="M13" i="5" l="1"/>
  <c r="G13" i="5" s="1"/>
  <c r="F13" i="5"/>
  <c r="M10" i="5"/>
  <c r="G10" i="5" s="1"/>
  <c r="F10" i="5"/>
  <c r="M7" i="5"/>
  <c r="F31" i="5"/>
  <c r="I31" i="5"/>
  <c r="G31" i="5" s="1"/>
  <c r="M14" i="5"/>
  <c r="G14" i="5" s="1"/>
  <c r="F14" i="5"/>
  <c r="I30" i="5"/>
  <c r="F30" i="5"/>
  <c r="I20" i="5"/>
  <c r="M12" i="5"/>
  <c r="G12" i="5" s="1"/>
  <c r="F12" i="5"/>
  <c r="M8" i="5"/>
  <c r="G8" i="5" s="1"/>
  <c r="M11" i="5"/>
  <c r="G11" i="5" s="1"/>
  <c r="F11" i="5"/>
  <c r="I32" i="5"/>
  <c r="G32" i="5" s="1"/>
  <c r="F32" i="5"/>
  <c r="I25" i="5"/>
  <c r="M9" i="5"/>
  <c r="G9" i="5" s="1"/>
  <c r="F9" i="5"/>
  <c r="I22" i="5"/>
  <c r="I21" i="5"/>
  <c r="G7" i="5" l="1"/>
  <c r="F28" i="5"/>
  <c r="I16" i="5"/>
  <c r="F16" i="5"/>
  <c r="E6" i="4"/>
  <c r="F17" i="5"/>
  <c r="I17" i="5"/>
  <c r="G17" i="5" s="1"/>
  <c r="G30" i="5"/>
  <c r="D8" i="4" s="1"/>
  <c r="E8" i="4"/>
  <c r="G5" i="4" l="1"/>
  <c r="K20" i="5"/>
  <c r="F20" i="5"/>
  <c r="K21" i="5"/>
  <c r="G21" i="5" s="1"/>
  <c r="F21" i="5"/>
  <c r="K22" i="5"/>
  <c r="G22" i="5" s="1"/>
  <c r="F22" i="5"/>
  <c r="G16" i="5"/>
  <c r="E7" i="4"/>
  <c r="D7" i="4"/>
  <c r="K25" i="5"/>
  <c r="G25" i="5" s="1"/>
  <c r="F25" i="5"/>
  <c r="D5" i="4" l="1"/>
  <c r="G20" i="5"/>
  <c r="D6" i="4" s="1"/>
  <c r="E5" i="4"/>
  <c r="G10" i="4"/>
  <c r="D12" i="3" s="1"/>
  <c r="G4" i="4"/>
  <c r="E10" i="4" l="1"/>
  <c r="J25" i="4" s="1"/>
  <c r="J26" i="4" s="1"/>
  <c r="E4" i="4"/>
  <c r="F6" i="4"/>
  <c r="J27" i="4" l="1"/>
  <c r="J28" i="4" s="1"/>
  <c r="J31" i="4" s="1"/>
  <c r="D5" i="3"/>
  <c r="D8" i="3" s="1"/>
  <c r="F10" i="4"/>
  <c r="F4" i="4"/>
  <c r="D10" i="4"/>
  <c r="D4" i="4"/>
  <c r="J14" i="4" l="1"/>
  <c r="J17" i="4"/>
  <c r="J16" i="4"/>
  <c r="J18" i="4"/>
  <c r="I25" i="4"/>
  <c r="L25" i="4" s="1"/>
  <c r="L26" i="4" s="1"/>
  <c r="D9" i="3"/>
  <c r="D17" i="4"/>
  <c r="D18" i="3" s="1"/>
  <c r="D11" i="4"/>
  <c r="D10" i="3" s="1"/>
  <c r="D14" i="4"/>
  <c r="J15" i="4" s="1"/>
  <c r="D16" i="4"/>
  <c r="D17" i="3" s="1"/>
  <c r="E18" i="4"/>
  <c r="D21" i="3"/>
  <c r="D22" i="3"/>
  <c r="L27" i="4" l="1"/>
  <c r="L28" i="4" s="1"/>
  <c r="L31" i="4" s="1"/>
  <c r="K25" i="4" s="1"/>
  <c r="D13" i="4"/>
  <c r="D14" i="3" s="1"/>
  <c r="D19" i="3"/>
  <c r="F19" i="3"/>
  <c r="D20" i="3"/>
  <c r="D12" i="4"/>
  <c r="D13" i="3" s="1"/>
  <c r="D15" i="3"/>
  <c r="D15" i="4"/>
  <c r="D16" i="3" s="1"/>
  <c r="D11" i="3"/>
  <c r="D23" i="3" l="1"/>
  <c r="D24" i="3" l="1"/>
  <c r="E25" i="4" l="1"/>
  <c r="D25" i="3" l="1"/>
  <c r="D26" i="3" l="1"/>
  <c r="D27" i="3"/>
  <c r="D28" i="3" l="1"/>
  <c r="D31" i="4"/>
  <c r="D31" i="3" s="1"/>
</calcChain>
</file>

<file path=xl/comments1.xml><?xml version="1.0" encoding="utf-8"?>
<comments xmlns="http://schemas.openxmlformats.org/spreadsheetml/2006/main">
  <authors>
    <author/>
  </authors>
  <commentList>
    <comment ref="H3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  <comment ref="I25" authorId="0" shapeId="0">
      <text>
        <r>
          <rPr>
            <sz val="9"/>
            <color theme="1"/>
            <rFont val="굴림체"/>
            <family val="3"/>
            <charset val="129"/>
          </rPr>
          <t>이윤보정액 : 총공사비 금액이 다를경우 임의조정(±α) 하십시요</t>
        </r>
      </text>
    </comment>
    <comment ref="K25" authorId="0" shapeId="0">
      <text>
        <r>
          <rPr>
            <sz val="9"/>
            <color theme="1"/>
            <rFont val="굴림체"/>
            <family val="3"/>
            <charset val="129"/>
          </rPr>
          <t>I열의 이윤보정시
 1. K열의 계삭식 삭제
 2. I열의 값 조정(±α)</t>
        </r>
      </text>
    </comment>
    <comment ref="I27" authorId="0" shapeId="0">
      <text>
        <r>
          <rPr>
            <sz val="9"/>
            <color theme="1"/>
            <rFont val="굴림체"/>
            <family val="3"/>
            <charset val="129"/>
          </rPr>
          <t>부가세보정 : 총공사비 금액에 1원 차이 발생할 경우 부가세 조정(+1) 하십시요</t>
        </r>
      </text>
    </comment>
    <comment ref="I29" authorId="0" shapeId="0">
      <text>
        <r>
          <rPr>
            <sz val="9"/>
            <color theme="1"/>
            <rFont val="굴림체"/>
            <family val="3"/>
            <charset val="129"/>
          </rPr>
          <t>관급자재대(도급자설치) : 원자재대 금액을 입력하세요.</t>
        </r>
      </text>
    </comment>
    <comment ref="O29" authorId="0" shapeId="0">
      <text>
        <r>
          <rPr>
            <sz val="9"/>
            <color theme="1"/>
            <rFont val="굴림체"/>
            <family val="3"/>
            <charset val="129"/>
          </rPr>
          <t>조달수수료</t>
        </r>
      </text>
    </comment>
    <comment ref="I30" authorId="0" shapeId="0">
      <text>
        <r>
          <rPr>
            <sz val="9"/>
            <color theme="1"/>
            <rFont val="굴림체"/>
            <family val="3"/>
            <charset val="129"/>
          </rPr>
          <t>관급자재대(관급자설치) : 원자재대 금액을 입력하세요.</t>
        </r>
      </text>
    </comment>
    <comment ref="D31" authorId="0" shapeId="0">
      <text>
        <r>
          <rPr>
            <sz val="9"/>
            <color theme="1"/>
            <rFont val="굴림체"/>
            <family val="3"/>
            <charset val="129"/>
          </rPr>
          <t>총공사비 금액이 절사기준과 다를경우 회색으로 표기됩니다.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O4" authorId="0" shapeId="0">
      <text>
        <r>
          <rPr>
            <sz val="9"/>
            <color theme="1"/>
            <rFont val="굴림체"/>
            <family val="3"/>
            <charset val="129"/>
          </rPr>
          <t>주의) 현재행 아래 내용을 수정 또는 삭제하지 마십시요.</t>
        </r>
      </text>
    </comment>
  </commentList>
</comments>
</file>

<file path=xl/sharedStrings.xml><?xml version="1.0" encoding="utf-8"?>
<sst xmlns="http://schemas.openxmlformats.org/spreadsheetml/2006/main" count="472" uniqueCount="372">
  <si>
    <t>공사명 : 백남준아트센터 산책로 환경개선사업</t>
  </si>
  <si>
    <t>호표</t>
  </si>
  <si>
    <t>명      칭</t>
  </si>
  <si>
    <t>규      격</t>
  </si>
  <si>
    <t>단위</t>
  </si>
  <si>
    <t>합  계</t>
  </si>
  <si>
    <t>재 료 비</t>
  </si>
  <si>
    <t>노 무 비</t>
  </si>
  <si>
    <t>경  비</t>
  </si>
  <si>
    <t>비  고</t>
  </si>
  <si>
    <t>㎡</t>
  </si>
  <si>
    <t>잔디붙임</t>
  </si>
  <si>
    <t>평떼,0.3*0.3,중지</t>
  </si>
  <si>
    <t>U형플륨관설치</t>
  </si>
  <si>
    <t>W300</t>
  </si>
  <si>
    <t>m</t>
  </si>
  <si>
    <t>주</t>
  </si>
  <si>
    <t>디자인형울타리(철거)</t>
  </si>
  <si>
    <t>H1200xW2000</t>
  </si>
  <si>
    <t>경간</t>
  </si>
  <si>
    <t>㎥</t>
  </si>
  <si>
    <t>개소</t>
  </si>
  <si>
    <t>데크로드1</t>
  </si>
  <si>
    <t>W1.5mxL120.0m</t>
  </si>
  <si>
    <t>데크로드2</t>
  </si>
  <si>
    <t>W1.5mxL73.0m</t>
  </si>
  <si>
    <t>데크로드3</t>
  </si>
  <si>
    <t>W1.5mxL134.0m</t>
  </si>
  <si>
    <t>데크쉼터</t>
  </si>
  <si>
    <t>T30천연목재</t>
  </si>
  <si>
    <t>데크계단A</t>
  </si>
  <si>
    <t>W1.2mxL33.0m,H180 @ 43단</t>
  </si>
  <si>
    <t>데크계단B</t>
  </si>
  <si>
    <t>W1.2mxL29.0m,H180 @ 41단</t>
  </si>
  <si>
    <t>데크계단A(철거)</t>
  </si>
  <si>
    <t>T50xL36.0m,A=47.0m2,43단</t>
  </si>
  <si>
    <t>EA</t>
  </si>
  <si>
    <t>데크계단B(철거)</t>
  </si>
  <si>
    <t>T50xL28.5m,A=32.5m2,37단</t>
  </si>
  <si>
    <t>데크포장(철거)</t>
  </si>
  <si>
    <t>T35</t>
  </si>
  <si>
    <t>사고석포장(철거)</t>
  </si>
  <si>
    <t>T100</t>
  </si>
  <si>
    <t>PE배수로(철거)</t>
  </si>
  <si>
    <t>원주목계단A(철거)</t>
  </si>
  <si>
    <t>D100xL2000</t>
  </si>
  <si>
    <t>원주목계단B(철거)</t>
  </si>
  <si>
    <t>D100xL1500</t>
  </si>
  <si>
    <t>데크계단C</t>
  </si>
  <si>
    <t>W1.2m~1.5mxL47m</t>
  </si>
  <si>
    <t>산사나무(이식)</t>
  </si>
  <si>
    <t>R12</t>
  </si>
  <si>
    <t>산딸나무(이식)</t>
  </si>
  <si>
    <t>R20</t>
  </si>
  <si>
    <t>R15</t>
  </si>
  <si>
    <t>위험목제거</t>
  </si>
  <si>
    <t>B11~21cm미만</t>
  </si>
  <si>
    <t>B21~31cm미만</t>
  </si>
  <si>
    <t>임목잔재(철거)</t>
  </si>
  <si>
    <t>벚나무단근처리</t>
  </si>
  <si>
    <t>B40(R48),뿌리돌림</t>
  </si>
  <si>
    <t>STmate</t>
  </si>
  <si>
    <t>1</t>
  </si>
  <si>
    <t>2</t>
  </si>
  <si>
    <t>단   가</t>
  </si>
  <si>
    <t>시설안내판</t>
  </si>
  <si>
    <t>800x1250xH1900</t>
  </si>
  <si>
    <t>W1000xL1000xH83</t>
  </si>
  <si>
    <t>W500xL1500xH1283</t>
  </si>
  <si>
    <t>W1000xL1500xH1283</t>
  </si>
  <si>
    <t>W1200xL1000xH650</t>
  </si>
  <si>
    <t>SIF-115P(철제난간)</t>
  </si>
  <si>
    <t>W1500xH1200</t>
  </si>
  <si>
    <t>흙콘크리트</t>
  </si>
  <si>
    <t>T20</t>
  </si>
  <si>
    <t>1200x500x1853</t>
  </si>
  <si>
    <t>1200x1000x1853</t>
  </si>
  <si>
    <t>HS-DW103(세줄형)</t>
  </si>
  <si>
    <t>가격 정보</t>
  </si>
  <si>
    <t>페이지</t>
  </si>
  <si>
    <t>물가 자료</t>
  </si>
  <si>
    <t>물가 정보</t>
  </si>
  <si>
    <t>견적1</t>
  </si>
  <si>
    <t>견적2</t>
  </si>
  <si>
    <t>적용 단가</t>
  </si>
  <si>
    <t>가.정</t>
  </si>
  <si>
    <t>물.자</t>
  </si>
  <si>
    <t>물.정</t>
  </si>
  <si>
    <t>견.1</t>
  </si>
  <si>
    <t>견.2</t>
  </si>
  <si>
    <t>설 계 내 역 서</t>
  </si>
  <si>
    <t>공   종</t>
  </si>
  <si>
    <t>수   량</t>
  </si>
  <si>
    <t>금    액</t>
  </si>
  <si>
    <t>총 괄 내 역 서</t>
  </si>
  <si>
    <t>■</t>
  </si>
  <si>
    <t>백남준아트센터 산책로 환경개선사업</t>
  </si>
  <si>
    <t>5.</t>
  </si>
  <si>
    <t>1.</t>
  </si>
  <si>
    <t>철거공</t>
  </si>
  <si>
    <t>_x0007_`COD|B03272_x0005_`QTY1|1_x0005_`EXI|0_x0005_`IPR|0_x0005_`BLA|F_x0005_`</t>
  </si>
  <si>
    <t>_x0007_`COD|B03274_x0005_`QTY1|1_x0005_`EXI|0_x0005_`IPR|0_x0005_`BLA|F_x0005_`</t>
  </si>
  <si>
    <t>_x0007_`COD|B03275_x0005_`QTY1|1_x0005_`EXI|0_x0005_`IPR|0_x0005_`BLA|F_x0005_`</t>
  </si>
  <si>
    <t>_x0007_`COD|B03279_x0005_`QTY1|1_x0005_`EXI|0_x0005_`IPR|0_x0005_`BLA|F_x0005_`</t>
  </si>
  <si>
    <t>_x0007_`COD|B03280_x0005_`QTY1|1_x0005_`EXI|0_x0005_`IPR|0_x0005_`BLA|F_x0005_`</t>
  </si>
  <si>
    <t>_x0007_`COD|B01904_x0005_`QTY1|1_x0005_`EXI|0_x0005_`IPR|0_x0005_`BLA|F_x0005_`</t>
  </si>
  <si>
    <t>_x0007_`COD|B03276_x0005_`QTY1|1_x0005_`EXI|0_x0005_`IPR|0_x0005_`BLA|F_x0005_`</t>
  </si>
  <si>
    <t>_x0007_`COD|B03277_x0005_`QTY1|1_x0005_`EXI|0_x0005_`IPR|0_x0005_`BLA|F_x0005_`</t>
  </si>
  <si>
    <t>_x0007_`COD|B03289_x0005_`QTY1|1_x0005_`EXI|0_x0005_`IPR|0_x0005_`BLA|F_x0005_`</t>
  </si>
  <si>
    <t>_x0007_`COD|B03285_x0005_`QTY1|1_x0005_`EXI|0_x0005_`IPR|0_x0005_`BLA|F_x0005_`</t>
  </si>
  <si>
    <t>_x0007_`COD|B03287_x0005_`QTY1|1_x0005_`EXI|0_x0005_`IPR|0_x0005_`BLA|F_x0005_`</t>
  </si>
  <si>
    <t>_x0007_`COD|B03290_x0005_`QTY1|1_x0005_`EXI|0_x0005_`IPR|0_x0005_`BLA|F_x0005_`</t>
  </si>
  <si>
    <t>2.</t>
  </si>
  <si>
    <t>시설물공</t>
  </si>
  <si>
    <t>_x0007_`COD|B03263_x0005_`QTY1|1_x0005_`EXI|0_x0005_`IPR|0_x0005_`BLA|F_x0005_`</t>
  </si>
  <si>
    <t>_x0007_`COD|B03266_x0005_`QTY1|1_x0005_`EXI|0_x0005_`IPR|0_x0005_`BLA|F_x0005_`</t>
  </si>
  <si>
    <t>_x0007_`COD|B03267_x0005_`QTY1|1_x0005_`EXI|0_x0005_`IPR|0_x0005_`BLA|F_x0005_`</t>
  </si>
  <si>
    <t>_x0007_`COD|B03269_x0005_`QTY1|1_x0005_`EXI|0_x0005_`IPR|0_x0005_`BLA|F_x0005_`</t>
  </si>
  <si>
    <t>_x0007_`COD|B03271_x0005_`QTY1|1_x0005_`EXI|0_x0005_`IPR|0_x0005_`BLA|F_x0005_`</t>
  </si>
  <si>
    <t>_x0007_`COD|B03281_x0005_`QTY1|1_x0005_`EXI|0_x0005_`IPR|0_x0005_`BLA|F_x0005_`</t>
  </si>
  <si>
    <t>_x0007_`COD|B03268_x0005_`QTY1|1_x0005_`EXI|0_x0005_`IPR|0_x0005_`BLA|F_x0005_`</t>
  </si>
  <si>
    <t>3.</t>
  </si>
  <si>
    <t>배수공</t>
  </si>
  <si>
    <t>_x0007_`COD|B00438_x0005_`QTY1|1_x0005_`EXI|0_x0005_`IPR|0_x0005_`BLA|F_x0005_`</t>
  </si>
  <si>
    <t>4.</t>
  </si>
  <si>
    <t>식재부대공</t>
  </si>
  <si>
    <t>_x0007_`COD|B03283_x0005_`QTY1|1_x0005_`EXI|0_x0005_`IPR|0_x0005_`BLA|F_x0005_`</t>
  </si>
  <si>
    <t>_x0007_`COD|B03284_x0005_`QTY1|1_x0005_`EXI|0_x0005_`IPR|0_x0005_`BLA|F_x0005_`</t>
  </si>
  <si>
    <t>_x0007_`COD|B03282_x0005_`QTY1|1_x0005_`EXI|0_x0005_`IPR|0_x0005_`BLA|F_x0005_`</t>
  </si>
  <si>
    <t>_x0007_`COD|B00208_x0005_`QTY1|1_x0005_`EXI|0_x0005_`IPR|0_x0005_`BLA|F_x0005_`PSKP|1_x0005_`</t>
  </si>
  <si>
    <t>관급자재대</t>
  </si>
  <si>
    <t>(제외금액)</t>
  </si>
  <si>
    <t>_x0007_`JTYP|0_x0005_`ACTL|F_x0005_`</t>
  </si>
  <si>
    <t>1)</t>
  </si>
  <si>
    <t>관급자관급자재대</t>
  </si>
  <si>
    <t>_x0007_`COD|M21272_x0005_`QTY1|1_x0005_`EXI|0_x0005_`IPR|1_x0005_`KWN|0_x0005_`BLA|F_x0005_`</t>
  </si>
  <si>
    <t>M21272</t>
  </si>
  <si>
    <t>_x0007_`COD|M21273_x0005_`QTY1|1_x0005_`EXI|0_x0005_`IPR|1_x0005_`KWN|0_x0005_`BLA|F_x0005_`</t>
  </si>
  <si>
    <t>M21273</t>
  </si>
  <si>
    <t>_x0007_`COD|M21274_x0005_`QTY1|1_x0005_`EXI|0_x0005_`IPR|1_x0005_`KWN|0_x0005_`BLA|F_x0005_`</t>
  </si>
  <si>
    <t>M21274</t>
  </si>
  <si>
    <t>_x0007_`COD|M21275_x0005_`QTY1|1_x0005_`EXI|0_x0005_`IPR|1_x0005_`KWN|0_x0005_`BLA|F_x0005_`</t>
  </si>
  <si>
    <t>M21275</t>
  </si>
  <si>
    <t>_x0007_`COD|M21279_x0005_`QTY1|1_x0005_`EXI|0_x0005_`IPR|1_x0005_`KWN|0_x0005_`BLA|F_x0005_`</t>
  </si>
  <si>
    <t>M21279</t>
  </si>
  <si>
    <t>_x0007_`COD|M21280_x0005_`QTY1|1_x0005_`EXI|0_x0005_`IPR|1_x0005_`KWN|0_x0005_`BLA|F_x0005_`</t>
  </si>
  <si>
    <t>M21280</t>
  </si>
  <si>
    <t>_x0007_`COD|M21276_x0005_`QTY1|1_x0005_`EXI|0_x0005_`IPR|1_x0005_`KWN|0_x0005_`BLA|F_x0005_`</t>
  </si>
  <si>
    <t>M21276</t>
  </si>
  <si>
    <t>_x0007_`COD|M21277_x0005_`QTY1|1_x0005_`EXI|0_x0005_`IPR|1_x0005_`KWN|0_x0005_`BLA|F_x0005_`</t>
  </si>
  <si>
    <t>M21277</t>
  </si>
  <si>
    <t>_x0007_`COD|M21202_x0005_`QTY1|1_x0005_`EXI|0_x0005_`IPR|1_x0005_`KWN|0_x0005_`BLA|F_x0005_`</t>
  </si>
  <si>
    <t>M21202</t>
  </si>
  <si>
    <t>_x0007_`COD|PR_x0005_`QTY1|1_x0005_`EXI|1_x0005_`IPR|0_x0005_`EQC|A01_x0005_`PRI|1_x0005_`PRO|3_x0005_`UNI|%_x0005_`RCU|0_x0005_`BLA|F_x0005_`</t>
  </si>
  <si>
    <t>조달수수료</t>
  </si>
  <si>
    <t>재료비의 %</t>
  </si>
  <si>
    <t>%</t>
  </si>
  <si>
    <t>도급자관급자재대</t>
  </si>
  <si>
    <t>_x0007_`COD|M21281_x0005_`QTY1|1_x0005_`EXI|0_x0005_`IPR|2_x0005_`KWN|0_x0005_`BLA|F_x0005_`</t>
  </si>
  <si>
    <t>M21281</t>
  </si>
  <si>
    <t>_x0007_`COD|PR_x0005_`QTY1|1_x0005_`EXI|1_x0005_`IPR|0_x0005_`EQC|A02_x0005_`PRI|1_x0005_`PRO|3_x0005_`UNI|%_x0005_`RCU|0_x0005_`BLA|F_x0005_`</t>
  </si>
  <si>
    <t xml:space="preserve">    가.</t>
  </si>
  <si>
    <t>순공사비계</t>
  </si>
  <si>
    <t xml:space="preserve"> 1. 간접노무비</t>
  </si>
  <si>
    <t>_x0007_`DTP|201_x0005_`QTY1|1_x0005_`BDC|_x0005_`SRE|LA_x0005_`</t>
  </si>
  <si>
    <t xml:space="preserve"> 2. 산재보험료</t>
  </si>
  <si>
    <t>_x0007_`DTP|301_x0005_`QTY1|1_x0005_`BDC|_x0005_`SRE|SA_x0005_`</t>
  </si>
  <si>
    <t xml:space="preserve"> 3. 고용보험료</t>
  </si>
  <si>
    <t>_x0007_`DTP|302_x0005_`QTY1|1_x0005_`BDC|_x0005_`SRE|SA_x0005_`</t>
  </si>
  <si>
    <t xml:space="preserve"> 4. 건강보험료</t>
  </si>
  <si>
    <t>_x0007_`DTP|303_x0005_`QTY1|1_x0005_`BDC|_x0005_`SRE|SA_x0005_`</t>
  </si>
  <si>
    <t xml:space="preserve"> 5. 노인장기요양보험료</t>
  </si>
  <si>
    <t>_x0007_`DTP|310_x0005_`QTY1|1_x0005_`BDC|_x0005_`SRE|SA_x0005_`</t>
  </si>
  <si>
    <t xml:space="preserve"> 6. 연금보험료</t>
  </si>
  <si>
    <t>_x0007_`DTP|304_x0005_`QTY1|1_x0005_`BDC|_x0005_`SRE|SA_x0005_`</t>
  </si>
  <si>
    <t xml:space="preserve"> 7. 퇴직공제부금비</t>
  </si>
  <si>
    <t>_x0007_`DTP|305_x0005_`QTY1|1_x0005_`BDC|_x0005_`SRE|SA_x0005_`</t>
  </si>
  <si>
    <t xml:space="preserve"> 8. 산업안전보건관리비</t>
  </si>
  <si>
    <t>A）관급재/1.1포함 적용</t>
  </si>
  <si>
    <t>_x0007_`DTP|306_x0005_`QTY1|1_x0005_`BDC|_x0005_`SRE|SA_x0005_`ANK|1_x0005_`</t>
  </si>
  <si>
    <t>공 사 원 가 계 산 서</t>
  </si>
  <si>
    <t>수정은 아래의 연두색 부분에</t>
  </si>
  <si>
    <t xml:space="preserve"> 9. 기타경비</t>
  </si>
  <si>
    <t>_x0007_`DTP|321_x0005_`QTY1|1_x0005_`BDC|_x0005_`SRE|SA_x0005_`</t>
  </si>
  <si>
    <t>10. 환경보전비</t>
  </si>
  <si>
    <t>_x0007_`DTP|309_x0005_`QTY1|1_x0005_`BDC|_x0005_`SRE|SA_x0005_`</t>
  </si>
  <si>
    <t>11. 건설기계대여금지급보증 금액</t>
  </si>
  <si>
    <t>_x0007_`DTP|311_x0005_`QTY1|1_x0005_`BDC|_x0005_`SRE|SA_x0005_`</t>
  </si>
  <si>
    <t xml:space="preserve">    나.</t>
  </si>
  <si>
    <t xml:space="preserve">    소   계</t>
  </si>
  <si>
    <t>_x0007_`DTP|400_x0005_`QTY1|1_x0005_`BDC|_x0005_`SRE|TA-F_x0005_`</t>
  </si>
  <si>
    <t>12. 일반관리비</t>
  </si>
  <si>
    <t>_x0007_`DTP|401_x0005_`QTY1|1_x0005_`BDC|_x0005_`SRE|TA_x0005_`</t>
  </si>
  <si>
    <t xml:space="preserve">    다.</t>
  </si>
  <si>
    <t>_x0007_`DTP|410_x0005_`QTY1|1_x0005_`BDC|_x0005_`SRE|TA-F_x0005_`</t>
  </si>
  <si>
    <t>13. 이   윤</t>
  </si>
  <si>
    <t>_x0007_`DTP|402_x0005_`QTY1|1_x0005_`BDC|_x0005_`SRE|TA_x0005_`</t>
  </si>
  <si>
    <t xml:space="preserve">    라.</t>
  </si>
  <si>
    <t xml:space="preserve">    공급가액</t>
  </si>
  <si>
    <t>_x0007_`DTP|500_x0005_`QTY1|1_x0005_`BDC|_x0005_`SRE|TA-F_x0005_`</t>
  </si>
  <si>
    <t>14. 부가가치세</t>
  </si>
  <si>
    <t>_x0007_`DTP|502_x0005_`QTY1|1_x0005_`BDC|_x0005_`SRE|TA_x0005_`</t>
  </si>
  <si>
    <t xml:space="preserve">    마.</t>
  </si>
  <si>
    <t xml:space="preserve">    도급공사비</t>
  </si>
  <si>
    <t>_x0007_`DTP|600_x0005_`QTY1|1_x0005_`BDC|_x0005_`SRE|TA-F_x0005_`</t>
  </si>
  <si>
    <t>15. 관급자재대(도급자설치)</t>
  </si>
  <si>
    <t>_x0007_`DTP|653_x0005_`QTY1|1_x0005_`BDC|_x0005_`SRE|TA-3_x0005_`</t>
  </si>
  <si>
    <t>16. 관급자재대(관급자설치)</t>
  </si>
  <si>
    <t>_x0007_`DTP|654_x0005_`QTY1|1_x0005_`BDC|_x0005_`SRE|TA-3_x0005_`</t>
  </si>
  <si>
    <t xml:space="preserve">    바.</t>
  </si>
  <si>
    <t xml:space="preserve">    총공사비</t>
  </si>
  <si>
    <t>_x0007_`DTP|700_x0005_`QTY1|1_x0005_`BDC|_x0005_`SRE|TA-F_x0005_`</t>
  </si>
  <si>
    <t>공사기간: 착공일로부터 90일</t>
  </si>
  <si>
    <t xml:space="preserve">    비    목</t>
  </si>
  <si>
    <t xml:space="preserve">구    분    </t>
  </si>
  <si>
    <t>구 성 비</t>
  </si>
  <si>
    <t>비    고</t>
  </si>
  <si>
    <t>직  접  재  료  비</t>
  </si>
  <si>
    <t>간  접  재  료  비</t>
  </si>
  <si>
    <t>작업설,부산물등(△)</t>
  </si>
  <si>
    <t>소              계</t>
  </si>
  <si>
    <t>직  접  노  무  비</t>
  </si>
  <si>
    <t>간  접  노  무  비</t>
  </si>
  <si>
    <t>산   출    경   비</t>
  </si>
  <si>
    <t>산  재  보  험  료</t>
  </si>
  <si>
    <t>고  용  보  험  료</t>
  </si>
  <si>
    <t>건  강  보  험  료</t>
  </si>
  <si>
    <t>노인장기요양보험료</t>
  </si>
  <si>
    <t>연  금  보  험  료</t>
  </si>
  <si>
    <t>퇴 직 공 제 부 금 비</t>
  </si>
  <si>
    <t>산업안전보건관리비</t>
  </si>
  <si>
    <t>기   타    경   비</t>
  </si>
  <si>
    <t>환  경  보  전  비</t>
  </si>
  <si>
    <t>건설기계대여금지급보증 금액</t>
  </si>
  <si>
    <t>일   반   관   리   비</t>
  </si>
  <si>
    <t>이                  윤</t>
  </si>
  <si>
    <t>총        원        가</t>
  </si>
  <si>
    <t>부   가   가   치   세</t>
  </si>
  <si>
    <t>도   급   공   사   비</t>
  </si>
  <si>
    <t>관급자재대(도급자설치)</t>
  </si>
  <si>
    <t>관급자재대(관급자설치)</t>
  </si>
  <si>
    <t>총     공     사     비</t>
  </si>
  <si>
    <t>순 공 사 원 가</t>
  </si>
  <si>
    <t>경    비</t>
  </si>
  <si>
    <t>QTY</t>
  </si>
  <si>
    <t>※※ 현재 Sheet를 수정 또는 삭제하지 마십시요[수정/삭제시 STmate 데이타로 변환할 수 없습니다] ※※</t>
  </si>
  <si>
    <t>[Sheet정보]</t>
  </si>
  <si>
    <t>목차</t>
  </si>
  <si>
    <t>Sheet</t>
  </si>
  <si>
    <t>FPos</t>
  </si>
  <si>
    <t>ITNAME</t>
  </si>
  <si>
    <t>NAME</t>
  </si>
  <si>
    <t>SIZE</t>
  </si>
  <si>
    <t>UNIT</t>
  </si>
  <si>
    <t>SPOS</t>
  </si>
  <si>
    <t>EPOS</t>
  </si>
  <si>
    <t>TAMT</t>
  </si>
  <si>
    <t>TAMOUNT</t>
  </si>
  <si>
    <t>MAMT</t>
  </si>
  <si>
    <t>MAMOUNT</t>
  </si>
  <si>
    <t>LAMT</t>
  </si>
  <si>
    <t>LAMOUNT</t>
  </si>
  <si>
    <t>SAMT</t>
  </si>
  <si>
    <t>SAMOUNT</t>
  </si>
  <si>
    <t>AAMT</t>
  </si>
  <si>
    <t>AAMOUNT</t>
  </si>
  <si>
    <t>NAMT</t>
  </si>
  <si>
    <t>NAMOUNT</t>
  </si>
  <si>
    <t>INFO</t>
  </si>
  <si>
    <t>1. 재료비목록표</t>
  </si>
  <si>
    <t>2. 노무비목록표</t>
  </si>
  <si>
    <t>3. 경비목록표</t>
  </si>
  <si>
    <t>4. 일식목록표</t>
  </si>
  <si>
    <t>5. 환율 및 기초자료</t>
  </si>
  <si>
    <t>6. 중기목록표</t>
  </si>
  <si>
    <t>7. 실적단가표</t>
  </si>
  <si>
    <t>8. 일위대가목록표</t>
  </si>
  <si>
    <t>9. 산출근거목록표</t>
  </si>
  <si>
    <t>10. 자재단가대비표</t>
  </si>
  <si>
    <t>11. 내역서</t>
  </si>
  <si>
    <t>12. 총괄내역서</t>
  </si>
  <si>
    <t>13. 중기사용료</t>
  </si>
  <si>
    <t>14. 일위대가표</t>
  </si>
  <si>
    <t>15. 단가산출근거</t>
  </si>
  <si>
    <t xml:space="preserve">16. </t>
  </si>
  <si>
    <t xml:space="preserve">17. </t>
  </si>
  <si>
    <t>18. 표준시장목록표</t>
  </si>
  <si>
    <t>[공사정보]</t>
  </si>
  <si>
    <t>M_VER</t>
  </si>
  <si>
    <t>25.06</t>
  </si>
  <si>
    <t>PNAME</t>
  </si>
  <si>
    <t>PCLAS</t>
  </si>
  <si>
    <t>0</t>
  </si>
  <si>
    <t>SCLAS</t>
  </si>
  <si>
    <t>K_ORD</t>
  </si>
  <si>
    <t>PRIPR</t>
  </si>
  <si>
    <t>True</t>
  </si>
  <si>
    <t>ACTYP</t>
  </si>
  <si>
    <t>ACTOP</t>
  </si>
  <si>
    <t>[초기값]</t>
  </si>
  <si>
    <t>P_ORD</t>
  </si>
  <si>
    <t>EXNM_</t>
  </si>
  <si>
    <t>RXNM_</t>
  </si>
  <si>
    <t>EXRNM</t>
  </si>
  <si>
    <t>1/8 * 16/12 * 25/20</t>
  </si>
  <si>
    <t>1/8*16/12*25/20*24/15</t>
  </si>
  <si>
    <t>1/8*16/12*25/20*12/10</t>
  </si>
  <si>
    <t>1/8*16/12*25/20*24/5</t>
  </si>
  <si>
    <t>COND_</t>
  </si>
  <si>
    <t>L00048L00049L00050L00052L00053L00054L00055</t>
  </si>
  <si>
    <t>KCDNM</t>
  </si>
  <si>
    <t>JCDNM</t>
  </si>
  <si>
    <t>ECDNM</t>
  </si>
  <si>
    <t>ACDNM</t>
  </si>
  <si>
    <t>BPNNM</t>
  </si>
  <si>
    <t>ZCDNM</t>
  </si>
  <si>
    <t>CHGNM</t>
  </si>
  <si>
    <t>CHBNM</t>
  </si>
  <si>
    <t>CHNNM</t>
  </si>
  <si>
    <t>CUTNM</t>
  </si>
  <si>
    <t>OPTNM</t>
  </si>
  <si>
    <t>SML</t>
  </si>
  <si>
    <t>S_JDA</t>
  </si>
  <si>
    <t>False</t>
  </si>
  <si>
    <t>SUBNM</t>
  </si>
  <si>
    <t>[인쇄정보]</t>
  </si>
  <si>
    <t>BMSTR</t>
  </si>
  <si>
    <t>BMKNM</t>
  </si>
  <si>
    <t>TMLS</t>
  </si>
  <si>
    <t>JEMNM</t>
  </si>
  <si>
    <t>123456</t>
  </si>
  <si>
    <t>JMKN1</t>
  </si>
  <si>
    <t>JMKN2</t>
  </si>
  <si>
    <t>JMKN3</t>
  </si>
  <si>
    <t>JMKN4</t>
  </si>
  <si>
    <t>JMKN5</t>
  </si>
  <si>
    <t>JMKN6</t>
  </si>
  <si>
    <t>CAP_CODE</t>
  </si>
  <si>
    <t>코드번호</t>
  </si>
  <si>
    <t>CAP_NO</t>
  </si>
  <si>
    <t>CAP_IBRD</t>
  </si>
  <si>
    <t>분류번호</t>
  </si>
  <si>
    <t>CAP_EQCOD</t>
  </si>
  <si>
    <t>시설코드</t>
  </si>
  <si>
    <t>CAP_ITNUM</t>
  </si>
  <si>
    <t>CAP_NAME</t>
  </si>
  <si>
    <t>CAP_SIZE</t>
  </si>
  <si>
    <t>CAP_QTY</t>
  </si>
  <si>
    <t>CAP_SUNIT</t>
  </si>
  <si>
    <t>CAP_AMT</t>
  </si>
  <si>
    <t>CAP_PAGE</t>
  </si>
  <si>
    <t>CAP_AMOUNT</t>
  </si>
  <si>
    <t>CAP_BIGO</t>
  </si>
  <si>
    <t>[PREPARE]</t>
  </si>
  <si>
    <t>PREP_VER</t>
  </si>
  <si>
    <t>w25.06</t>
  </si>
  <si>
    <t>PREP_COP</t>
  </si>
  <si>
    <t>(주) 디자인그룹모빌</t>
  </si>
  <si>
    <t>PREP_DATE</t>
  </si>
  <si>
    <t>2025-06-04 18:24</t>
  </si>
  <si>
    <t>[.끝.]</t>
  </si>
  <si>
    <t>관목류(이식)</t>
    <phoneticPr fontId="10" type="noConversion"/>
  </si>
  <si>
    <t>H0.6m</t>
  </si>
  <si>
    <t>480</t>
    <phoneticPr fontId="10" type="noConversion"/>
  </si>
  <si>
    <t>공사명 : 백남준아트센터 산책로 환경개선공사</t>
    <phoneticPr fontId="10" type="noConversion"/>
  </si>
  <si>
    <t>HSDECK-204_평데크</t>
    <phoneticPr fontId="10" type="noConversion"/>
  </si>
  <si>
    <t>HSDECK-304F_평데크+한쪽난간</t>
    <phoneticPr fontId="10" type="noConversion"/>
  </si>
  <si>
    <t>HSDECK-354F_평데크+한쪽난간</t>
    <phoneticPr fontId="10" type="noConversion"/>
  </si>
  <si>
    <t>HSDECK-404_계단데크</t>
    <phoneticPr fontId="10" type="noConversion"/>
  </si>
  <si>
    <t>HSDECK-504F_계단데크+한쪽난간</t>
    <phoneticPr fontId="10" type="noConversion"/>
  </si>
  <si>
    <t>HSDECK-554F_계단데크+한쪽난간</t>
    <phoneticPr fontId="10" type="noConversion"/>
  </si>
  <si>
    <t>2)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</si>
</sst>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#"/>
    <numFmt numFmtId="177" formatCode="#,##0.#######;\-#,##0.#######;#"/>
    <numFmt numFmtId="178" formatCode="#,##0;\-#,##0;#"/>
    <numFmt numFmtId="179" formatCode="#,##0.#######"/>
    <numFmt numFmtId="180" formatCode="#,##0.####;\-#,##0.####;#"/>
    <numFmt numFmtId="181" formatCode="#,##0.###;\-#,##0.###;#"/>
    <numFmt numFmtId="182" formatCode="#,##0.######;\-#,##0.######;#"/>
    <numFmt numFmtId="183" formatCode="0.000\ &quot;%&quot;;;#"/>
  </numFmts>
  <fonts count="14" x14ac:knownFonts="1">
    <font>
      <sz val="11"/>
      <color theme="1"/>
      <name val="맑은 고딕"/>
      <family val="2"/>
      <charset val="129"/>
      <scheme val="minor"/>
    </font>
    <font>
      <b/>
      <u/>
      <sz val="15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22"/>
      <name val="굴림체"/>
      <family val="3"/>
      <charset val="129"/>
    </font>
    <font>
      <sz val="10"/>
      <color indexed="2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9"/>
      <color indexed="22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indexed="9"/>
      <name val="굴림체"/>
      <family val="3"/>
      <charset val="129"/>
    </font>
    <font>
      <b/>
      <sz val="15"/>
      <color indexed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49" fontId="3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177" fontId="3" fillId="0" borderId="0" xfId="0" applyNumberFormat="1" applyFont="1" applyAlignment="1">
      <alignment horizontal="lef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right" vertical="center" shrinkToFit="1"/>
    </xf>
    <xf numFmtId="182" fontId="2" fillId="0" borderId="4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6" xfId="0" applyNumberFormat="1" applyFont="1" applyBorder="1" applyAlignment="1">
      <alignment horizontal="right" vertical="center" shrinkToFit="1"/>
    </xf>
    <xf numFmtId="178" fontId="2" fillId="0" borderId="3" xfId="0" applyNumberFormat="1" applyFont="1" applyBorder="1" applyAlignment="1">
      <alignment horizontal="right" vertical="center" shrinkToFit="1"/>
    </xf>
    <xf numFmtId="178" fontId="2" fillId="0" borderId="0" xfId="0" applyNumberFormat="1" applyFont="1" applyAlignment="1">
      <alignment horizontal="right" vertical="center" shrinkToFit="1"/>
    </xf>
    <xf numFmtId="182" fontId="2" fillId="0" borderId="6" xfId="0" applyNumberFormat="1" applyFont="1" applyBorder="1" applyAlignment="1">
      <alignment horizontal="right" vertical="center" shrinkToFit="1"/>
    </xf>
    <xf numFmtId="181" fontId="2" fillId="0" borderId="4" xfId="0" applyNumberFormat="1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182" fontId="2" fillId="0" borderId="3" xfId="0" applyNumberFormat="1" applyFont="1" applyBorder="1" applyAlignment="1">
      <alignment horizontal="right" vertical="center" shrinkToFit="1"/>
    </xf>
    <xf numFmtId="181" fontId="2" fillId="0" borderId="1" xfId="0" applyNumberFormat="1" applyFont="1" applyBorder="1" applyAlignment="1">
      <alignment horizontal="right" vertical="center" shrinkToFit="1"/>
    </xf>
    <xf numFmtId="182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 applyAlignment="1">
      <alignment horizontal="right" vertical="center" shrinkToFit="1"/>
    </xf>
    <xf numFmtId="178" fontId="2" fillId="3" borderId="0" xfId="0" applyNumberFormat="1" applyFont="1" applyFill="1" applyAlignment="1">
      <alignment horizontal="right" vertical="center" shrinkToFit="1"/>
    </xf>
    <xf numFmtId="176" fontId="2" fillId="3" borderId="0" xfId="0" applyNumberFormat="1" applyFont="1" applyFill="1" applyAlignment="1">
      <alignment horizontal="right" vertical="center" shrinkToFit="1"/>
    </xf>
    <xf numFmtId="179" fontId="2" fillId="3" borderId="0" xfId="0" applyNumberFormat="1" applyFont="1" applyFill="1" applyAlignment="1">
      <alignment horizontal="right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8" fontId="2" fillId="0" borderId="5" xfId="0" applyNumberFormat="1" applyFont="1" applyBorder="1" applyAlignment="1">
      <alignment horizontal="right" vertical="center" shrinkToFit="1"/>
    </xf>
    <xf numFmtId="183" fontId="2" fillId="0" borderId="8" xfId="0" applyNumberFormat="1" applyFont="1" applyBorder="1" applyAlignment="1">
      <alignment horizontal="right" vertical="center" shrinkToFit="1"/>
    </xf>
    <xf numFmtId="183" fontId="2" fillId="0" borderId="5" xfId="0" applyNumberFormat="1" applyFont="1" applyBorder="1" applyAlignment="1">
      <alignment horizontal="right" vertical="center" shrinkToFit="1"/>
    </xf>
    <xf numFmtId="183" fontId="2" fillId="0" borderId="4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0" fontId="0" fillId="0" borderId="8" xfId="0" applyBorder="1" applyAlignment="1">
      <alignment shrinkToFit="1"/>
    </xf>
    <xf numFmtId="49" fontId="2" fillId="0" borderId="5" xfId="0" applyNumberFormat="1" applyFont="1" applyBorder="1" applyAlignment="1">
      <alignment horizontal="left" vertical="center" shrinkToFit="1"/>
    </xf>
    <xf numFmtId="177" fontId="2" fillId="0" borderId="8" xfId="0" applyNumberFormat="1" applyFont="1" applyBorder="1" applyAlignment="1">
      <alignment horizontal="left" vertical="center" shrinkToFit="1"/>
    </xf>
    <xf numFmtId="177" fontId="2" fillId="0" borderId="8" xfId="0" applyNumberFormat="1" applyFont="1" applyBorder="1" applyAlignment="1">
      <alignment horizontal="left" vertical="center" wrapText="1" justifyLastLine="1" shrinkToFit="1"/>
    </xf>
    <xf numFmtId="0" fontId="0" fillId="0" borderId="0" xfId="0" applyAlignment="1" applyProtection="1">
      <alignment shrinkToFit="1"/>
      <protection hidden="1"/>
    </xf>
    <xf numFmtId="49" fontId="2" fillId="4" borderId="0" xfId="0" applyNumberFormat="1" applyFont="1" applyFill="1" applyAlignment="1" applyProtection="1">
      <alignment horizontal="left" vertical="center" shrinkToFit="1"/>
      <protection hidden="1"/>
    </xf>
    <xf numFmtId="49" fontId="2" fillId="0" borderId="0" xfId="0" applyNumberFormat="1" applyFont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left" vertical="center" shrinkToFit="1"/>
      <protection hidden="1"/>
    </xf>
    <xf numFmtId="177" fontId="2" fillId="0" borderId="0" xfId="0" applyNumberFormat="1" applyFont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shrinkToFit="1"/>
      <protection hidden="1"/>
    </xf>
    <xf numFmtId="1" fontId="2" fillId="0" borderId="0" xfId="0" applyNumberFormat="1" applyFont="1" applyAlignment="1" applyProtection="1">
      <alignment horizontal="left" vertical="center" shrinkToFit="1"/>
      <protection hidden="1"/>
    </xf>
    <xf numFmtId="182" fontId="7" fillId="0" borderId="4" xfId="0" applyNumberFormat="1" applyFont="1" applyBorder="1" applyAlignment="1">
      <alignment horizontal="right" vertical="center" shrinkToFit="1"/>
    </xf>
    <xf numFmtId="178" fontId="7" fillId="0" borderId="6" xfId="0" applyNumberFormat="1" applyFont="1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distributed" vertical="center" indent="2" shrinkToFit="1"/>
    </xf>
    <xf numFmtId="0" fontId="0" fillId="0" borderId="4" xfId="0" applyBorder="1" applyAlignment="1">
      <alignment horizontal="distributed" indent="2"/>
    </xf>
    <xf numFmtId="49" fontId="2" fillId="0" borderId="8" xfId="0" applyNumberFormat="1" applyFont="1" applyBorder="1" applyAlignment="1">
      <alignment horizontal="center" vertical="center" textRotation="255" shrinkToFit="1"/>
    </xf>
    <xf numFmtId="0" fontId="0" fillId="0" borderId="8" xfId="0" applyBorder="1"/>
    <xf numFmtId="0" fontId="0" fillId="0" borderId="3" xfId="0" applyBorder="1"/>
    <xf numFmtId="49" fontId="2" fillId="0" borderId="3" xfId="0" applyNumberFormat="1" applyFont="1" applyBorder="1" applyAlignment="1">
      <alignment horizontal="distributed" vertical="center" indent="2" shrinkToFit="1"/>
    </xf>
    <xf numFmtId="0" fontId="0" fillId="0" borderId="3" xfId="0" applyBorder="1" applyAlignment="1">
      <alignment horizontal="distributed" indent="2"/>
    </xf>
    <xf numFmtId="0" fontId="0" fillId="0" borderId="2" xfId="0" applyBorder="1" applyAlignment="1">
      <alignment horizontal="distributed" indent="2"/>
    </xf>
    <xf numFmtId="49" fontId="2" fillId="0" borderId="1" xfId="0" applyNumberFormat="1" applyFont="1" applyBorder="1" applyAlignment="1">
      <alignment horizontal="distributed" vertical="center" indent="2" shrinkToFit="1"/>
    </xf>
    <xf numFmtId="49" fontId="1" fillId="0" borderId="0" xfId="0" applyNumberFormat="1" applyFont="1" applyAlignment="1">
      <alignment horizontal="center" vertical="center" shrinkToFit="1"/>
    </xf>
    <xf numFmtId="0" fontId="0" fillId="0" borderId="0" xfId="0"/>
    <xf numFmtId="49" fontId="2" fillId="0" borderId="4" xfId="0" applyNumberFormat="1" applyFont="1" applyBorder="1" applyAlignment="1">
      <alignment horizontal="left" vertical="center" shrinkToFit="1"/>
    </xf>
    <xf numFmtId="0" fontId="0" fillId="0" borderId="4" xfId="0" applyBorder="1"/>
    <xf numFmtId="0" fontId="0" fillId="0" borderId="6" xfId="0" applyBorder="1"/>
    <xf numFmtId="177" fontId="2" fillId="0" borderId="4" xfId="0" applyNumberFormat="1" applyFont="1" applyBorder="1" applyAlignment="1">
      <alignment horizontal="left" vertical="center" shrinkToFit="1"/>
    </xf>
    <xf numFmtId="49" fontId="8" fillId="2" borderId="0" xfId="0" applyNumberFormat="1" applyFont="1" applyFill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 wrapText="1" justifyLastLine="1" shrinkToFit="1"/>
    </xf>
    <xf numFmtId="49" fontId="7" fillId="0" borderId="1" xfId="0" applyNumberFormat="1" applyFont="1" applyBorder="1" applyAlignment="1">
      <alignment horizontal="left" vertical="center" shrinkToFit="1"/>
    </xf>
    <xf numFmtId="49" fontId="7" fillId="0" borderId="3" xfId="0" applyNumberFormat="1" applyFont="1" applyBorder="1" applyAlignment="1">
      <alignment horizontal="left" vertical="center"/>
    </xf>
    <xf numFmtId="49" fontId="9" fillId="0" borderId="0" xfId="0" applyNumberFormat="1" applyFont="1" applyAlignment="1" applyProtection="1">
      <alignment horizontal="left" vertical="center" shrinkToFit="1"/>
      <protection hidden="1"/>
    </xf>
    <xf numFmtId="49" fontId="7" fillId="5" borderId="2" xfId="0" applyNumberFormat="1" applyFont="1" applyFill="1" applyBorder="1" applyAlignment="1">
      <alignment horizontal="center" vertical="center" shrinkToFit="1"/>
    </xf>
    <xf numFmtId="49" fontId="7" fillId="5" borderId="5" xfId="0" applyNumberFormat="1" applyFont="1" applyFill="1" applyBorder="1" applyAlignment="1">
      <alignment horizontal="center" vertical="center" shrinkToFit="1"/>
    </xf>
    <xf numFmtId="0" fontId="13" fillId="5" borderId="2" xfId="0" applyFont="1" applyFill="1" applyBorder="1"/>
    <xf numFmtId="49" fontId="7" fillId="5" borderId="1" xfId="0" applyNumberFormat="1" applyFont="1" applyFill="1" applyBorder="1" applyAlignment="1">
      <alignment horizontal="center" vertical="center" shrinkToFit="1"/>
    </xf>
    <xf numFmtId="0" fontId="13" fillId="5" borderId="5" xfId="0" applyFont="1" applyFill="1" applyBorder="1"/>
    <xf numFmtId="0" fontId="0" fillId="0" borderId="0" xfId="0" applyAlignment="1">
      <alignment horizontal="center" shrinkToFit="1"/>
    </xf>
    <xf numFmtId="0" fontId="13" fillId="5" borderId="2" xfId="0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horizontal="center" vertical="center" shrinkToFit="1"/>
    </xf>
    <xf numFmtId="180" fontId="12" fillId="0" borderId="4" xfId="0" applyNumberFormat="1" applyFont="1" applyBorder="1" applyAlignment="1">
      <alignment horizontal="center" vertical="center" shrinkToFit="1"/>
    </xf>
    <xf numFmtId="49" fontId="7" fillId="5" borderId="2" xfId="0" applyNumberFormat="1" applyFont="1" applyFill="1" applyBorder="1" applyAlignment="1">
      <alignment horizontal="center" vertical="center" shrinkToFit="1"/>
    </xf>
    <xf numFmtId="49" fontId="7" fillId="5" borderId="5" xfId="0" applyNumberFormat="1" applyFont="1" applyFill="1" applyBorder="1" applyAlignment="1">
      <alignment horizontal="center" vertical="center" shrinkToFit="1"/>
    </xf>
    <xf numFmtId="49" fontId="7" fillId="5" borderId="7" xfId="0" applyNumberFormat="1" applyFont="1" applyFill="1" applyBorder="1" applyAlignment="1">
      <alignment horizontal="right" vertical="center" shrinkToFit="1"/>
    </xf>
    <xf numFmtId="0" fontId="13" fillId="5" borderId="7" xfId="0" applyFont="1" applyFill="1" applyBorder="1"/>
    <xf numFmtId="49" fontId="7" fillId="5" borderId="3" xfId="0" applyNumberFormat="1" applyFont="1" applyFill="1" applyBorder="1" applyAlignment="1">
      <alignment horizontal="left" vertical="center" shrinkToFit="1"/>
    </xf>
    <xf numFmtId="0" fontId="13" fillId="5" borderId="3" xfId="0" applyFont="1" applyFill="1" applyBorder="1"/>
    <xf numFmtId="177" fontId="2" fillId="0" borderId="8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left" vertical="center" shrinkToFit="1"/>
    </xf>
    <xf numFmtId="178" fontId="7" fillId="0" borderId="3" xfId="0" applyNumberFormat="1" applyFont="1" applyFill="1" applyBorder="1" applyAlignment="1">
      <alignment horizontal="right" vertical="center" shrinkToFit="1"/>
    </xf>
    <xf numFmtId="49" fontId="2" fillId="0" borderId="4" xfId="0" applyNumberFormat="1" applyFont="1" applyFill="1" applyBorder="1" applyAlignment="1">
      <alignment horizontal="left" vertical="center" shrinkToFit="1"/>
    </xf>
    <xf numFmtId="0" fontId="0" fillId="0" borderId="4" xfId="0" applyFill="1" applyBorder="1"/>
    <xf numFmtId="0" fontId="0" fillId="0" borderId="6" xfId="0" applyFill="1" applyBorder="1"/>
    <xf numFmtId="49" fontId="2" fillId="0" borderId="1" xfId="0" applyNumberFormat="1" applyFont="1" applyFill="1" applyBorder="1" applyAlignment="1">
      <alignment horizontal="center" vertical="center" shrinkToFit="1"/>
    </xf>
  </cellXfs>
  <cellStyles count="1">
    <cellStyle name="표준" xfId="0" builtinId="0"/>
  </cellStyles>
  <dxfs count="3">
    <dxf>
      <numFmt numFmtId="176" formatCode="#,###"/>
    </dxf>
    <dxf>
      <fill>
        <patternFill>
          <bgColor rgb="FFC0C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3</xdr:col>
      <xdr:colOff>28575</xdr:colOff>
      <xdr:row>4</xdr:row>
      <xdr:rowOff>9525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E36324B4-152A-92B5-A3D8-FDAB8E7989A2}"/>
            </a:ext>
          </a:extLst>
        </xdr:cNvPr>
        <xdr:cNvCxnSpPr/>
      </xdr:nvCxnSpPr>
      <xdr:spPr>
        <a:xfrm>
          <a:off x="28575" y="657225"/>
          <a:ext cx="2514600" cy="6667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ma.co.kr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tma.co.kr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pane ySplit="4" topLeftCell="A20" activePane="bottomLeft" state="frozenSplit"/>
      <selection pane="bottomLeft" activeCell="F36" sqref="F36"/>
    </sheetView>
  </sheetViews>
  <sheetFormatPr defaultColWidth="9.125" defaultRowHeight="16.5" x14ac:dyDescent="0.3"/>
  <cols>
    <col min="1" max="2" width="4.75" style="3" customWidth="1"/>
    <col min="3" max="3" width="23.5" style="3" customWidth="1"/>
    <col min="4" max="4" width="11.5" style="3" customWidth="1"/>
    <col min="5" max="5" width="8.5" style="3" customWidth="1"/>
    <col min="6" max="6" width="49.75" style="3" customWidth="1"/>
    <col min="7" max="16384" width="9.125" style="3"/>
  </cols>
  <sheetData>
    <row r="1" spans="1:6" ht="24.95" customHeight="1" x14ac:dyDescent="0.3">
      <c r="A1" s="70" t="s">
        <v>180</v>
      </c>
      <c r="B1" s="71"/>
      <c r="C1" s="71"/>
      <c r="D1" s="71"/>
      <c r="E1" s="71"/>
      <c r="F1" s="71"/>
    </row>
    <row r="2" spans="1:6" ht="26.45" customHeight="1" x14ac:dyDescent="0.3">
      <c r="A2" s="1" t="s">
        <v>364</v>
      </c>
      <c r="F2" s="42" t="s">
        <v>212</v>
      </c>
    </row>
    <row r="3" spans="1:6" ht="26.45" customHeight="1" x14ac:dyDescent="0.3">
      <c r="A3" s="95" t="s">
        <v>214</v>
      </c>
      <c r="B3" s="96"/>
      <c r="C3" s="96"/>
      <c r="D3" s="84" t="s">
        <v>93</v>
      </c>
      <c r="E3" s="84" t="s">
        <v>215</v>
      </c>
      <c r="F3" s="84" t="s">
        <v>216</v>
      </c>
    </row>
    <row r="4" spans="1:6" ht="26.45" customHeight="1" x14ac:dyDescent="0.3">
      <c r="A4" s="97" t="s">
        <v>213</v>
      </c>
      <c r="B4" s="98"/>
      <c r="C4" s="98"/>
      <c r="D4" s="87"/>
      <c r="E4" s="87"/>
      <c r="F4" s="87"/>
    </row>
    <row r="5" spans="1:6" ht="26.45" customHeight="1" x14ac:dyDescent="0.3">
      <c r="A5" s="63" t="s">
        <v>242</v>
      </c>
      <c r="B5" s="63" t="s">
        <v>6</v>
      </c>
      <c r="C5" s="34" t="s">
        <v>217</v>
      </c>
      <c r="D5" s="36">
        <f>총괄내역서!E10-D6+D7</f>
        <v>0</v>
      </c>
      <c r="E5" s="39"/>
      <c r="F5" s="43"/>
    </row>
    <row r="6" spans="1:6" ht="26.45" customHeight="1" x14ac:dyDescent="0.3">
      <c r="A6" s="64"/>
      <c r="B6" s="64"/>
      <c r="C6" s="34" t="s">
        <v>218</v>
      </c>
      <c r="D6" s="37">
        <v>0</v>
      </c>
      <c r="E6" s="39"/>
      <c r="F6" s="44"/>
    </row>
    <row r="7" spans="1:6" ht="26.45" customHeight="1" x14ac:dyDescent="0.3">
      <c r="A7" s="64"/>
      <c r="B7" s="64"/>
      <c r="C7" s="34" t="s">
        <v>219</v>
      </c>
      <c r="D7" s="37">
        <v>0</v>
      </c>
      <c r="E7" s="39"/>
      <c r="F7" s="44"/>
    </row>
    <row r="8" spans="1:6" ht="26.45" customHeight="1" x14ac:dyDescent="0.3">
      <c r="A8" s="64"/>
      <c r="B8" s="65"/>
      <c r="C8" s="9" t="s">
        <v>220</v>
      </c>
      <c r="D8" s="38">
        <f>+D5+D6-D7</f>
        <v>0</v>
      </c>
      <c r="E8" s="40"/>
      <c r="F8" s="45"/>
    </row>
    <row r="9" spans="1:6" ht="26.45" customHeight="1" x14ac:dyDescent="0.3">
      <c r="A9" s="64"/>
      <c r="B9" s="63" t="s">
        <v>7</v>
      </c>
      <c r="C9" s="34" t="s">
        <v>221</v>
      </c>
      <c r="D9" s="36">
        <f>총괄내역서!F10</f>
        <v>0</v>
      </c>
      <c r="E9" s="39"/>
      <c r="F9" s="43"/>
    </row>
    <row r="10" spans="1:6" ht="26.45" customHeight="1" x14ac:dyDescent="0.3">
      <c r="A10" s="64"/>
      <c r="B10" s="64"/>
      <c r="C10" s="34" t="s">
        <v>222</v>
      </c>
      <c r="D10" s="36">
        <f>총괄내역서!D11</f>
        <v>0</v>
      </c>
      <c r="E10" s="39"/>
      <c r="F10" s="46" t="str">
        <f>총괄내역서!E11</f>
        <v>직접노무비 x 16.2%</v>
      </c>
    </row>
    <row r="11" spans="1:6" ht="26.45" customHeight="1" x14ac:dyDescent="0.3">
      <c r="A11" s="64"/>
      <c r="B11" s="65"/>
      <c r="C11" s="9" t="s">
        <v>220</v>
      </c>
      <c r="D11" s="38">
        <f>+D9+D10</f>
        <v>0</v>
      </c>
      <c r="E11" s="40"/>
      <c r="F11" s="45"/>
    </row>
    <row r="12" spans="1:6" ht="26.45" customHeight="1" x14ac:dyDescent="0.3">
      <c r="A12" s="64"/>
      <c r="B12" s="63" t="s">
        <v>243</v>
      </c>
      <c r="C12" s="34" t="s">
        <v>223</v>
      </c>
      <c r="D12" s="36">
        <f>총괄내역서!G10</f>
        <v>0</v>
      </c>
      <c r="E12" s="39"/>
      <c r="F12" s="43"/>
    </row>
    <row r="13" spans="1:6" ht="26.45" customHeight="1" x14ac:dyDescent="0.3">
      <c r="A13" s="64"/>
      <c r="B13" s="64"/>
      <c r="C13" s="34" t="s">
        <v>224</v>
      </c>
      <c r="D13" s="36">
        <f>총괄내역서!D12</f>
        <v>0</v>
      </c>
      <c r="E13" s="39"/>
      <c r="F13" s="46" t="str">
        <f>총괄내역서!E12</f>
        <v>(직접노무비+간접노무비) x 3.56%</v>
      </c>
    </row>
    <row r="14" spans="1:6" ht="26.45" customHeight="1" x14ac:dyDescent="0.3">
      <c r="A14" s="64"/>
      <c r="B14" s="64"/>
      <c r="C14" s="34" t="s">
        <v>225</v>
      </c>
      <c r="D14" s="36">
        <f>총괄내역서!D13</f>
        <v>0</v>
      </c>
      <c r="E14" s="39"/>
      <c r="F14" s="46" t="str">
        <f>총괄내역서!E13</f>
        <v>(직접노무비+간접노무비) x 1.01%</v>
      </c>
    </row>
    <row r="15" spans="1:6" ht="26.45" customHeight="1" x14ac:dyDescent="0.3">
      <c r="A15" s="64"/>
      <c r="B15" s="64"/>
      <c r="C15" s="34" t="s">
        <v>226</v>
      </c>
      <c r="D15" s="36">
        <f>총괄내역서!D14</f>
        <v>0</v>
      </c>
      <c r="E15" s="39"/>
      <c r="F15" s="46" t="str">
        <f>총괄내역서!E14</f>
        <v>직접노무비 x 3.545%</v>
      </c>
    </row>
    <row r="16" spans="1:6" ht="26.45" customHeight="1" x14ac:dyDescent="0.3">
      <c r="A16" s="64"/>
      <c r="B16" s="64"/>
      <c r="C16" s="34" t="s">
        <v>227</v>
      </c>
      <c r="D16" s="36">
        <f>총괄내역서!D15</f>
        <v>0</v>
      </c>
      <c r="E16" s="39"/>
      <c r="F16" s="46" t="str">
        <f>총괄내역서!E15</f>
        <v>건강보험료 x 12.95%</v>
      </c>
    </row>
    <row r="17" spans="1:6" ht="26.45" customHeight="1" x14ac:dyDescent="0.3">
      <c r="A17" s="64"/>
      <c r="B17" s="64"/>
      <c r="C17" s="34" t="s">
        <v>228</v>
      </c>
      <c r="D17" s="36">
        <f>총괄내역서!D16</f>
        <v>0</v>
      </c>
      <c r="E17" s="39"/>
      <c r="F17" s="46" t="str">
        <f>총괄내역서!E16</f>
        <v>직접노무비 x 4.5%</v>
      </c>
    </row>
    <row r="18" spans="1:6" ht="26.45" customHeight="1" x14ac:dyDescent="0.3">
      <c r="A18" s="64"/>
      <c r="B18" s="64"/>
      <c r="C18" s="34" t="s">
        <v>229</v>
      </c>
      <c r="D18" s="36">
        <f>총괄내역서!D17</f>
        <v>0</v>
      </c>
      <c r="E18" s="39"/>
      <c r="F18" s="46" t="str">
        <f>총괄내역서!E17</f>
        <v>직접노무비 x 2.3%</v>
      </c>
    </row>
    <row r="19" spans="1:6" ht="26.45" customHeight="1" x14ac:dyDescent="0.3">
      <c r="A19" s="64"/>
      <c r="B19" s="64"/>
      <c r="C19" s="34" t="s">
        <v>230</v>
      </c>
      <c r="D19" s="36">
        <f>총괄내역서!D18</f>
        <v>0</v>
      </c>
      <c r="E19" s="39"/>
      <c r="F19" s="47" t="str">
        <f>총괄내역서!E18</f>
        <v>A）(직노+직재+간재+관급재/1.1) x 2.07% = 0
B）&lt;(직노+직재+간재) x 2.07%&gt;의 1.2배 = 2,448,415</v>
      </c>
    </row>
    <row r="20" spans="1:6" ht="26.45" customHeight="1" x14ac:dyDescent="0.3">
      <c r="A20" s="64"/>
      <c r="B20" s="64"/>
      <c r="C20" s="34" t="s">
        <v>231</v>
      </c>
      <c r="D20" s="36">
        <f>총괄내역서!D19</f>
        <v>0</v>
      </c>
      <c r="E20" s="39"/>
      <c r="F20" s="99" t="str">
        <f>총괄내역서!E19</f>
        <v>(직접노무비+간접노무비+재료비) x 4.6%</v>
      </c>
    </row>
    <row r="21" spans="1:6" ht="26.45" customHeight="1" x14ac:dyDescent="0.3">
      <c r="A21" s="64"/>
      <c r="B21" s="64"/>
      <c r="C21" s="34" t="s">
        <v>232</v>
      </c>
      <c r="D21" s="36">
        <f>총괄내역서!D20</f>
        <v>0</v>
      </c>
      <c r="E21" s="39"/>
      <c r="F21" s="99" t="str">
        <f>총괄내역서!E20</f>
        <v>(재료비 + 직접노무비 + 산출경비) x 0.3%</v>
      </c>
    </row>
    <row r="22" spans="1:6" ht="26.45" customHeight="1" x14ac:dyDescent="0.3">
      <c r="A22" s="64"/>
      <c r="B22" s="64"/>
      <c r="C22" s="34" t="s">
        <v>233</v>
      </c>
      <c r="D22" s="36">
        <f>총괄내역서!D21</f>
        <v>0</v>
      </c>
      <c r="E22" s="39"/>
      <c r="F22" s="99" t="str">
        <f>총괄내역서!E21</f>
        <v>(재료비 + 직접노무비 + 산출경비) x 0.16%</v>
      </c>
    </row>
    <row r="23" spans="1:6" ht="26.45" customHeight="1" x14ac:dyDescent="0.3">
      <c r="A23" s="65"/>
      <c r="B23" s="65"/>
      <c r="C23" s="35" t="s">
        <v>220</v>
      </c>
      <c r="D23" s="38">
        <f>+D12+D13+D14+D15+D16+D17+D18+D19+D20+D21+D22</f>
        <v>0</v>
      </c>
      <c r="E23" s="40"/>
      <c r="F23" s="60"/>
    </row>
    <row r="24" spans="1:6" ht="26.45" customHeight="1" x14ac:dyDescent="0.3">
      <c r="A24" s="66" t="s">
        <v>234</v>
      </c>
      <c r="B24" s="67"/>
      <c r="C24" s="68"/>
      <c r="D24" s="22">
        <f>총괄내역서!D23</f>
        <v>0</v>
      </c>
      <c r="E24" s="41"/>
      <c r="F24" s="100" t="str">
        <f>"순공사원가 x "&amp;ROUND(총괄내역서!M23,5)&amp;"%"</f>
        <v>순공사원가 x 6%</v>
      </c>
    </row>
    <row r="25" spans="1:6" ht="26.45" customHeight="1" x14ac:dyDescent="0.3">
      <c r="A25" s="69" t="s">
        <v>235</v>
      </c>
      <c r="B25" s="62"/>
      <c r="C25" s="62"/>
      <c r="D25" s="22">
        <f>총괄내역서!D25</f>
        <v>0</v>
      </c>
      <c r="E25" s="41"/>
      <c r="F25" s="100" t="str">
        <f>"(노무비+경비+일반관리비) x "&amp;ROUND(총괄내역서!M25,5)&amp;"%"</f>
        <v>(노무비+경비+일반관리비) x 15%</v>
      </c>
    </row>
    <row r="26" spans="1:6" ht="26.45" customHeight="1" x14ac:dyDescent="0.3">
      <c r="A26" s="61" t="s">
        <v>236</v>
      </c>
      <c r="B26" s="62"/>
      <c r="C26" s="62"/>
      <c r="D26" s="22">
        <f>총괄내역서!D26</f>
        <v>0</v>
      </c>
      <c r="E26" s="41"/>
      <c r="F26" s="14"/>
    </row>
    <row r="27" spans="1:6" ht="26.45" customHeight="1" x14ac:dyDescent="0.3">
      <c r="A27" s="69" t="s">
        <v>237</v>
      </c>
      <c r="B27" s="62"/>
      <c r="C27" s="62"/>
      <c r="D27" s="22">
        <f>총괄내역서!D27</f>
        <v>0</v>
      </c>
      <c r="E27" s="41"/>
      <c r="F27" s="100" t="str">
        <f>"총 원 가 x "&amp;ROUND(총괄내역서!M27,5)&amp;"%"</f>
        <v>총 원 가 x 10%</v>
      </c>
    </row>
    <row r="28" spans="1:6" ht="26.45" customHeight="1" x14ac:dyDescent="0.3">
      <c r="A28" s="61" t="s">
        <v>238</v>
      </c>
      <c r="B28" s="62"/>
      <c r="C28" s="62"/>
      <c r="D28" s="22">
        <f>총괄내역서!D28</f>
        <v>0</v>
      </c>
      <c r="E28" s="41"/>
      <c r="F28" s="14"/>
    </row>
    <row r="29" spans="1:6" ht="26.45" customHeight="1" x14ac:dyDescent="0.3">
      <c r="A29" s="69" t="s">
        <v>239</v>
      </c>
      <c r="B29" s="62"/>
      <c r="C29" s="62"/>
      <c r="D29" s="22">
        <f>총괄내역서!D29</f>
        <v>0</v>
      </c>
      <c r="E29" s="41"/>
      <c r="F29" s="100" t="str">
        <f>총괄내역서!E29</f>
        <v>원자재대: 397,133 (조달수수료: 2,133 포함)</v>
      </c>
    </row>
    <row r="30" spans="1:6" ht="26.45" customHeight="1" x14ac:dyDescent="0.3">
      <c r="A30" s="69" t="s">
        <v>240</v>
      </c>
      <c r="B30" s="62"/>
      <c r="C30" s="62"/>
      <c r="D30" s="22">
        <f>총괄내역서!D30</f>
        <v>0</v>
      </c>
      <c r="E30" s="41"/>
      <c r="F30" s="100" t="str">
        <f>총괄내역서!E30</f>
        <v>원자재대: 612,225,762</v>
      </c>
    </row>
    <row r="31" spans="1:6" ht="26.45" customHeight="1" x14ac:dyDescent="0.3">
      <c r="A31" s="61" t="s">
        <v>241</v>
      </c>
      <c r="B31" s="62"/>
      <c r="C31" s="62"/>
      <c r="D31" s="22">
        <f>총괄내역서!D31</f>
        <v>0</v>
      </c>
      <c r="E31" s="41"/>
      <c r="F31" s="14"/>
    </row>
  </sheetData>
  <mergeCells count="18">
    <mergeCell ref="A1:F1"/>
    <mergeCell ref="A3:C3"/>
    <mergeCell ref="D3:D4"/>
    <mergeCell ref="E3:E4"/>
    <mergeCell ref="F3:F4"/>
    <mergeCell ref="A4:C4"/>
    <mergeCell ref="A31:C31"/>
    <mergeCell ref="A5:A23"/>
    <mergeCell ref="B5:B8"/>
    <mergeCell ref="B9:B11"/>
    <mergeCell ref="B12:B23"/>
    <mergeCell ref="A24:C24"/>
    <mergeCell ref="A25:C25"/>
    <mergeCell ref="A26:C26"/>
    <mergeCell ref="A27:C27"/>
    <mergeCell ref="A28:C28"/>
    <mergeCell ref="A29:C29"/>
    <mergeCell ref="A30:C30"/>
  </mergeCells>
  <phoneticPr fontId="10" type="noConversion"/>
  <printOptions horizontalCentered="1"/>
  <pageMargins left="0.59055118110236215" right="0.59055118110236215" top="0.78740157480314965" bottom="0.74803149606299202" header="0" footer="0.55118110236220463"/>
  <pageSetup paperSize="9" scale="80" fitToWidth="0" fitToHeight="0" orientation="portrait" r:id="rId1"/>
  <headerFooter alignWithMargins="0">
    <oddFooter xml:space="preserve">&amp;C&amp;"굴림체,"&amp;9 - &amp;P -&amp;R&amp;"굴림체,"&amp;9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"/>
  <sheetViews>
    <sheetView workbookViewId="0">
      <pane ySplit="3" topLeftCell="A10" activePane="bottomLeft" state="frozenSplit"/>
      <selection pane="bottomLeft" activeCell="U30" sqref="U30"/>
    </sheetView>
  </sheetViews>
  <sheetFormatPr defaultColWidth="9.125" defaultRowHeight="16.5" x14ac:dyDescent="0.3"/>
  <cols>
    <col min="1" max="1" width="10" style="3" customWidth="1"/>
    <col min="2" max="2" width="26.5" style="3" customWidth="1"/>
    <col min="3" max="3" width="22.75" style="88" customWidth="1"/>
    <col min="4" max="4" width="20.5" style="3" customWidth="1"/>
    <col min="5" max="5" width="17.5" style="3" customWidth="1"/>
    <col min="6" max="6" width="13.75" style="3" customWidth="1"/>
    <col min="7" max="7" width="10.875" style="3" customWidth="1"/>
    <col min="8" max="8" width="9.125" style="10" hidden="1" customWidth="1"/>
    <col min="9" max="12" width="2.125" style="3" hidden="1" customWidth="1"/>
    <col min="13" max="15" width="4" style="3" hidden="1" customWidth="1"/>
    <col min="16" max="16" width="23.375" style="3" hidden="1" customWidth="1"/>
    <col min="17" max="16384" width="9.125" style="3"/>
  </cols>
  <sheetData>
    <row r="1" spans="1:16" ht="24.95" customHeight="1" x14ac:dyDescent="0.3">
      <c r="A1" s="70" t="s">
        <v>94</v>
      </c>
      <c r="B1" s="71"/>
      <c r="C1" s="71"/>
      <c r="D1" s="71"/>
      <c r="E1" s="71"/>
      <c r="F1" s="71"/>
      <c r="G1" s="71"/>
      <c r="H1" s="12" t="s">
        <v>61</v>
      </c>
    </row>
    <row r="2" spans="1:16" ht="19.5" customHeight="1" x14ac:dyDescent="0.3">
      <c r="A2" s="1" t="s">
        <v>0</v>
      </c>
      <c r="H2" s="13" t="str">
        <f ca="1">MID(CELL("filename",$A$1),FIND("]",CELL("filename",$A$1))+1,LEN(CELL("filename",$A$1)))</f>
        <v>총괄내역서</v>
      </c>
    </row>
    <row r="3" spans="1:16" ht="19.5" customHeight="1" x14ac:dyDescent="0.3">
      <c r="A3" s="93" t="s">
        <v>91</v>
      </c>
      <c r="B3" s="93" t="s">
        <v>2</v>
      </c>
      <c r="C3" s="93" t="s">
        <v>3</v>
      </c>
      <c r="D3" s="93" t="s">
        <v>5</v>
      </c>
      <c r="E3" s="93" t="s">
        <v>6</v>
      </c>
      <c r="F3" s="93" t="s">
        <v>7</v>
      </c>
      <c r="G3" s="94" t="s">
        <v>8</v>
      </c>
      <c r="H3" s="11" t="s">
        <v>132</v>
      </c>
      <c r="I3" s="76" t="s">
        <v>181</v>
      </c>
      <c r="J3" s="76"/>
      <c r="K3" s="76"/>
      <c r="L3" s="76"/>
      <c r="M3" s="76"/>
      <c r="N3" s="76"/>
      <c r="O3" s="76"/>
      <c r="P3" s="76"/>
    </row>
    <row r="4" spans="1:16" ht="19.5" customHeight="1" x14ac:dyDescent="0.3">
      <c r="A4" s="6" t="s">
        <v>95</v>
      </c>
      <c r="B4" s="77" t="s">
        <v>96</v>
      </c>
      <c r="C4" s="78"/>
      <c r="D4" s="22">
        <f>설계내역서!G5</f>
        <v>0</v>
      </c>
      <c r="E4" s="30">
        <f>설계내역서!I5</f>
        <v>0</v>
      </c>
      <c r="F4" s="26">
        <f>설계내역서!K5</f>
        <v>0</v>
      </c>
      <c r="G4" s="22">
        <f>설계내역서!M5</f>
        <v>0</v>
      </c>
    </row>
    <row r="5" spans="1:16" ht="19.5" customHeight="1" x14ac:dyDescent="0.3">
      <c r="A5" s="6" t="s">
        <v>98</v>
      </c>
      <c r="B5" s="6" t="s">
        <v>99</v>
      </c>
      <c r="C5" s="5"/>
      <c r="D5" s="22">
        <f>설계내역서!G6</f>
        <v>0</v>
      </c>
      <c r="E5" s="30">
        <f>설계내역서!I6</f>
        <v>0</v>
      </c>
      <c r="F5" s="26">
        <f>설계내역서!K6</f>
        <v>0</v>
      </c>
      <c r="G5" s="22">
        <f>설계내역서!M6</f>
        <v>0</v>
      </c>
    </row>
    <row r="6" spans="1:16" ht="19.5" customHeight="1" x14ac:dyDescent="0.3">
      <c r="A6" s="6" t="s">
        <v>112</v>
      </c>
      <c r="B6" s="6" t="s">
        <v>113</v>
      </c>
      <c r="C6" s="5"/>
      <c r="D6" s="22">
        <f>설계내역서!G19</f>
        <v>0</v>
      </c>
      <c r="E6" s="30">
        <f>설계내역서!I19</f>
        <v>0</v>
      </c>
      <c r="F6" s="26">
        <f>설계내역서!K19</f>
        <v>0</v>
      </c>
      <c r="G6" s="22">
        <f>설계내역서!M19</f>
        <v>0</v>
      </c>
    </row>
    <row r="7" spans="1:16" ht="19.5" customHeight="1" x14ac:dyDescent="0.3">
      <c r="A7" s="6" t="s">
        <v>121</v>
      </c>
      <c r="B7" s="6" t="s">
        <v>122</v>
      </c>
      <c r="C7" s="5"/>
      <c r="D7" s="22">
        <f>설계내역서!G27</f>
        <v>0</v>
      </c>
      <c r="E7" s="30">
        <f>설계내역서!I27</f>
        <v>0</v>
      </c>
      <c r="F7" s="26">
        <f>설계내역서!K27</f>
        <v>0</v>
      </c>
      <c r="G7" s="22">
        <f>설계내역서!M27</f>
        <v>0</v>
      </c>
    </row>
    <row r="8" spans="1:16" ht="19.5" customHeight="1" x14ac:dyDescent="0.3">
      <c r="A8" s="6" t="s">
        <v>124</v>
      </c>
      <c r="B8" s="6" t="s">
        <v>125</v>
      </c>
      <c r="C8" s="5"/>
      <c r="D8" s="22">
        <f>설계내역서!G29</f>
        <v>0</v>
      </c>
      <c r="E8" s="30">
        <f>설계내역서!I29</f>
        <v>0</v>
      </c>
      <c r="F8" s="26">
        <f>설계내역서!K29</f>
        <v>0</v>
      </c>
      <c r="G8" s="22">
        <f>설계내역서!M29</f>
        <v>0</v>
      </c>
    </row>
    <row r="9" spans="1:16" ht="19.5" customHeight="1" x14ac:dyDescent="0.3">
      <c r="A9" s="6" t="s">
        <v>97</v>
      </c>
      <c r="B9" s="6" t="s">
        <v>130</v>
      </c>
      <c r="C9" s="5"/>
      <c r="D9" s="22">
        <f>설계내역서!G35</f>
        <v>0</v>
      </c>
      <c r="E9" s="30">
        <f>설계내역서!I35</f>
        <v>0</v>
      </c>
      <c r="F9" s="26">
        <f>설계내역서!K35</f>
        <v>0</v>
      </c>
      <c r="G9" s="22">
        <f>설계내역서!M35</f>
        <v>0</v>
      </c>
    </row>
    <row r="10" spans="1:16" ht="19.5" customHeight="1" x14ac:dyDescent="0.3">
      <c r="A10" s="6" t="s">
        <v>161</v>
      </c>
      <c r="B10" s="6" t="s">
        <v>162</v>
      </c>
      <c r="C10" s="5"/>
      <c r="D10" s="22">
        <f>설계내역서!G50</f>
        <v>0</v>
      </c>
      <c r="E10" s="30">
        <f>설계내역서!I50</f>
        <v>0</v>
      </c>
      <c r="F10" s="26">
        <f>설계내역서!K50</f>
        <v>0</v>
      </c>
      <c r="G10" s="22">
        <f>설계내역서!M50</f>
        <v>0</v>
      </c>
    </row>
    <row r="11" spans="1:16" ht="19.5" customHeight="1" x14ac:dyDescent="0.3">
      <c r="A11" s="6"/>
      <c r="B11" s="6" t="s">
        <v>163</v>
      </c>
      <c r="C11" s="5"/>
      <c r="D11" s="22">
        <f>ROUNDDOWN(F10*M11/100,0)</f>
        <v>0</v>
      </c>
      <c r="E11" s="75" t="str">
        <f>"직접노무비 x "&amp;ROUND(M11,5)&amp;"%"</f>
        <v>직접노무비 x 16.2%</v>
      </c>
      <c r="F11" s="73"/>
      <c r="G11" s="74"/>
      <c r="H11" s="11" t="s">
        <v>164</v>
      </c>
      <c r="I11" s="16">
        <v>0</v>
      </c>
      <c r="M11" s="33">
        <v>16.2</v>
      </c>
      <c r="N11" s="16">
        <v>0</v>
      </c>
      <c r="O11" s="16">
        <v>0</v>
      </c>
      <c r="P11" s="16">
        <v>0</v>
      </c>
    </row>
    <row r="12" spans="1:16" ht="19.5" customHeight="1" x14ac:dyDescent="0.3">
      <c r="A12" s="6"/>
      <c r="B12" s="6" t="s">
        <v>165</v>
      </c>
      <c r="C12" s="5"/>
      <c r="D12" s="22">
        <f>ROUNDDOWN(((F10+D11))*M12/100,0)</f>
        <v>0</v>
      </c>
      <c r="E12" s="75" t="str">
        <f>"(직접노무비+간접노무비) x "&amp;ROUND(M12,5)&amp;"%"</f>
        <v>(직접노무비+간접노무비) x 3.56%</v>
      </c>
      <c r="F12" s="73"/>
      <c r="G12" s="74"/>
      <c r="H12" s="11" t="s">
        <v>166</v>
      </c>
      <c r="I12" s="16">
        <v>0</v>
      </c>
      <c r="M12" s="33">
        <v>3.56</v>
      </c>
      <c r="N12" s="16">
        <v>0</v>
      </c>
      <c r="O12" s="16">
        <v>0</v>
      </c>
      <c r="P12" s="16">
        <v>0</v>
      </c>
    </row>
    <row r="13" spans="1:16" ht="19.5" customHeight="1" x14ac:dyDescent="0.3">
      <c r="A13" s="6"/>
      <c r="B13" s="6" t="s">
        <v>167</v>
      </c>
      <c r="C13" s="5"/>
      <c r="D13" s="22">
        <f>ROUNDDOWN(((F10+D11))*M13/100,0)</f>
        <v>0</v>
      </c>
      <c r="E13" s="75" t="str">
        <f>"(직접노무비+간접노무비) x "&amp;ROUND(M13,5)&amp;"%"</f>
        <v>(직접노무비+간접노무비) x 1.01%</v>
      </c>
      <c r="F13" s="73"/>
      <c r="G13" s="74"/>
      <c r="H13" s="11" t="s">
        <v>168</v>
      </c>
      <c r="I13" s="16">
        <v>0</v>
      </c>
      <c r="M13" s="33">
        <v>1.01</v>
      </c>
      <c r="N13" s="16">
        <v>0</v>
      </c>
      <c r="O13" s="16">
        <v>0</v>
      </c>
      <c r="P13" s="16">
        <v>0</v>
      </c>
    </row>
    <row r="14" spans="1:16" ht="19.5" customHeight="1" x14ac:dyDescent="0.3">
      <c r="A14" s="6"/>
      <c r="B14" s="6" t="s">
        <v>169</v>
      </c>
      <c r="C14" s="5"/>
      <c r="D14" s="22">
        <f>ROUNDDOWN((F10)*M14/100,0)</f>
        <v>0</v>
      </c>
      <c r="E14" s="75" t="str">
        <f>"직접노무비 x "&amp;ROUND(M14,5)&amp;"%"</f>
        <v>직접노무비 x 3.545%</v>
      </c>
      <c r="F14" s="73"/>
      <c r="G14" s="74"/>
      <c r="H14" s="11" t="s">
        <v>170</v>
      </c>
      <c r="I14" s="16">
        <v>0</v>
      </c>
      <c r="J14" s="23">
        <f>F10</f>
        <v>0</v>
      </c>
      <c r="M14" s="33">
        <v>3.5449999999999999</v>
      </c>
      <c r="N14" s="16">
        <v>0</v>
      </c>
      <c r="O14" s="16">
        <v>0</v>
      </c>
      <c r="P14" s="16">
        <v>0</v>
      </c>
    </row>
    <row r="15" spans="1:16" ht="19.5" customHeight="1" x14ac:dyDescent="0.3">
      <c r="A15" s="6"/>
      <c r="B15" s="6" t="s">
        <v>171</v>
      </c>
      <c r="C15" s="5"/>
      <c r="D15" s="22">
        <f>ROUNDDOWN(D14*M15/100,0)</f>
        <v>0</v>
      </c>
      <c r="E15" s="75" t="str">
        <f>"건강보험료 x "&amp;ROUND(M15,5)&amp;"%"</f>
        <v>건강보험료 x 12.95%</v>
      </c>
      <c r="F15" s="73"/>
      <c r="G15" s="74"/>
      <c r="H15" s="11" t="s">
        <v>172</v>
      </c>
      <c r="I15" s="16">
        <v>0</v>
      </c>
      <c r="J15" s="23">
        <f>D14</f>
        <v>0</v>
      </c>
      <c r="M15" s="33">
        <v>12.95</v>
      </c>
      <c r="N15" s="16">
        <v>0</v>
      </c>
      <c r="O15" s="16">
        <v>0</v>
      </c>
      <c r="P15" s="16">
        <v>0</v>
      </c>
    </row>
    <row r="16" spans="1:16" ht="19.5" customHeight="1" x14ac:dyDescent="0.3">
      <c r="A16" s="6"/>
      <c r="B16" s="6" t="s">
        <v>173</v>
      </c>
      <c r="C16" s="5"/>
      <c r="D16" s="22">
        <f>ROUNDDOWN((F10)*M16/100,0)</f>
        <v>0</v>
      </c>
      <c r="E16" s="75" t="str">
        <f>"직접노무비 x "&amp;ROUND(M16,5)&amp;"%"</f>
        <v>직접노무비 x 4.5%</v>
      </c>
      <c r="F16" s="73"/>
      <c r="G16" s="74"/>
      <c r="H16" s="11" t="s">
        <v>174</v>
      </c>
      <c r="I16" s="16">
        <v>0</v>
      </c>
      <c r="J16" s="23">
        <f>F10</f>
        <v>0</v>
      </c>
      <c r="M16" s="33">
        <v>4.5</v>
      </c>
      <c r="N16" s="16">
        <v>0</v>
      </c>
      <c r="O16" s="16">
        <v>0</v>
      </c>
      <c r="P16" s="16">
        <v>0</v>
      </c>
    </row>
    <row r="17" spans="1:16" ht="19.5" customHeight="1" x14ac:dyDescent="0.3">
      <c r="A17" s="6"/>
      <c r="B17" s="6" t="s">
        <v>175</v>
      </c>
      <c r="C17" s="5"/>
      <c r="D17" s="22">
        <f>ROUNDDOWN((F10)*M17/100,0)</f>
        <v>0</v>
      </c>
      <c r="E17" s="75" t="str">
        <f>"직접노무비 x "&amp;ROUND(M17,5)&amp;"%"</f>
        <v>직접노무비 x 2.3%</v>
      </c>
      <c r="F17" s="73"/>
      <c r="G17" s="74"/>
      <c r="H17" s="11" t="s">
        <v>176</v>
      </c>
      <c r="I17" s="16">
        <v>0</v>
      </c>
      <c r="J17" s="23">
        <f>F10</f>
        <v>0</v>
      </c>
      <c r="M17" s="33">
        <v>2.2999999999999998</v>
      </c>
      <c r="N17" s="16">
        <v>0</v>
      </c>
      <c r="O17" s="16">
        <v>0</v>
      </c>
      <c r="P17" s="16">
        <v>0</v>
      </c>
    </row>
    <row r="18" spans="1:16" ht="24.75" customHeight="1" x14ac:dyDescent="0.3">
      <c r="A18" s="6"/>
      <c r="B18" s="6" t="s">
        <v>177</v>
      </c>
      <c r="C18" s="5" t="s">
        <v>178</v>
      </c>
      <c r="D18" s="22"/>
      <c r="E18" s="79" t="str">
        <f>"A）(직노+직재+간재+관급재/1.1) x "&amp;ROUND(M18,5)&amp;"% = "&amp;TEXT(D18,"#,0")&amp;"
B）&lt;(직노+직재+간재) x "&amp;ROUND(M18,5)&amp;"%&gt;의 1.2배 = 2,448,415"</f>
        <v>A）(직노+직재+간재+관급재/1.1) x 2.07% = 0
B）&lt;(직노+직재+간재) x 2.07%&gt;의 1.2배 = 2,448,415</v>
      </c>
      <c r="F18" s="73"/>
      <c r="G18" s="74"/>
      <c r="H18" s="11" t="s">
        <v>179</v>
      </c>
      <c r="I18" s="16">
        <v>0</v>
      </c>
      <c r="J18" s="23">
        <f>((F10+(E10))+(I29-O29)/1.1)</f>
        <v>359090.90909090906</v>
      </c>
      <c r="M18" s="33">
        <v>2.0699999999999998</v>
      </c>
      <c r="N18" s="16">
        <v>0</v>
      </c>
      <c r="O18" s="16">
        <v>0</v>
      </c>
      <c r="P18" s="16">
        <v>0</v>
      </c>
    </row>
    <row r="19" spans="1:16" ht="19.5" customHeight="1" x14ac:dyDescent="0.3">
      <c r="A19" s="6"/>
      <c r="B19" s="6" t="s">
        <v>182</v>
      </c>
      <c r="C19" s="5"/>
      <c r="D19" s="22"/>
      <c r="E19" s="75" t="str">
        <f>"(직접노무비+간접노무비+재료비) x "&amp;ROUND(M19,5)&amp;"%"</f>
        <v>(직접노무비+간접노무비+재료비) x 4.6%</v>
      </c>
      <c r="F19" s="73"/>
      <c r="G19" s="74"/>
      <c r="H19" s="11" t="s">
        <v>183</v>
      </c>
      <c r="I19" s="16">
        <v>0</v>
      </c>
      <c r="M19" s="33">
        <v>4.5999999999999996</v>
      </c>
      <c r="N19" s="16">
        <v>0</v>
      </c>
      <c r="O19" s="16">
        <v>0</v>
      </c>
      <c r="P19" s="16">
        <v>0</v>
      </c>
    </row>
    <row r="20" spans="1:16" ht="19.5" customHeight="1" x14ac:dyDescent="0.3">
      <c r="A20" s="6"/>
      <c r="B20" s="6" t="s">
        <v>184</v>
      </c>
      <c r="C20" s="5"/>
      <c r="D20" s="22"/>
      <c r="E20" s="75" t="str">
        <f>"(재료비 + 직접노무비 + 산출경비) x "&amp;ROUND(M20,5)&amp;"%"</f>
        <v>(재료비 + 직접노무비 + 산출경비) x 0.3%</v>
      </c>
      <c r="F20" s="73"/>
      <c r="G20" s="74"/>
      <c r="H20" s="11" t="s">
        <v>185</v>
      </c>
      <c r="I20" s="16">
        <v>0</v>
      </c>
      <c r="M20" s="33">
        <v>0.3</v>
      </c>
      <c r="N20" s="16">
        <v>0</v>
      </c>
      <c r="O20" s="16">
        <v>0</v>
      </c>
      <c r="P20" s="16">
        <v>0</v>
      </c>
    </row>
    <row r="21" spans="1:16" ht="19.5" customHeight="1" x14ac:dyDescent="0.3">
      <c r="A21" s="6"/>
      <c r="B21" s="6" t="s">
        <v>186</v>
      </c>
      <c r="C21" s="5"/>
      <c r="D21" s="22"/>
      <c r="E21" s="75" t="str">
        <f>"(재료비 + 직접노무비 + 산출경비) x "&amp;ROUND(M21,5)&amp;"%"</f>
        <v>(재료비 + 직접노무비 + 산출경비) x 0.16%</v>
      </c>
      <c r="F21" s="73"/>
      <c r="G21" s="74"/>
      <c r="H21" s="11" t="s">
        <v>187</v>
      </c>
      <c r="I21" s="16">
        <v>0</v>
      </c>
      <c r="M21" s="33">
        <v>0.16</v>
      </c>
      <c r="N21" s="16">
        <v>0</v>
      </c>
      <c r="O21" s="16">
        <v>0</v>
      </c>
      <c r="P21" s="16">
        <v>0</v>
      </c>
    </row>
    <row r="22" spans="1:16" ht="19.5" customHeight="1" x14ac:dyDescent="0.3">
      <c r="A22" s="6" t="s">
        <v>188</v>
      </c>
      <c r="B22" s="6" t="s">
        <v>189</v>
      </c>
      <c r="C22" s="5"/>
      <c r="D22" s="22"/>
      <c r="E22" s="72"/>
      <c r="F22" s="73"/>
      <c r="G22" s="74"/>
      <c r="H22" s="11" t="s">
        <v>190</v>
      </c>
      <c r="I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1:16" ht="19.5" customHeight="1" x14ac:dyDescent="0.3">
      <c r="A23" s="6"/>
      <c r="B23" s="6" t="s">
        <v>191</v>
      </c>
      <c r="C23" s="5"/>
      <c r="D23" s="22"/>
      <c r="E23" s="75" t="str">
        <f>"(나.소  계) x "&amp;ROUND(M23,5)&amp;"%"</f>
        <v>(나.소  계) x 6%</v>
      </c>
      <c r="F23" s="73"/>
      <c r="G23" s="74"/>
      <c r="H23" s="11" t="s">
        <v>192</v>
      </c>
      <c r="I23" s="16">
        <v>0</v>
      </c>
      <c r="M23" s="32">
        <v>6</v>
      </c>
      <c r="N23" s="16">
        <v>0</v>
      </c>
      <c r="O23" s="16">
        <v>0</v>
      </c>
      <c r="P23" s="16">
        <v>0</v>
      </c>
    </row>
    <row r="24" spans="1:16" ht="19.5" customHeight="1" x14ac:dyDescent="0.3">
      <c r="A24" s="6" t="s">
        <v>193</v>
      </c>
      <c r="B24" s="6" t="s">
        <v>189</v>
      </c>
      <c r="C24" s="5"/>
      <c r="D24" s="22"/>
      <c r="E24" s="72"/>
      <c r="F24" s="73"/>
      <c r="G24" s="74"/>
      <c r="H24" s="11" t="s">
        <v>194</v>
      </c>
      <c r="I24" s="16"/>
      <c r="J24" s="23">
        <f>D24</f>
        <v>0</v>
      </c>
      <c r="L24" s="23">
        <f>D24</f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ht="19.5" customHeight="1" x14ac:dyDescent="0.3">
      <c r="A25" s="6"/>
      <c r="B25" s="6" t="s">
        <v>195</v>
      </c>
      <c r="C25" s="5"/>
      <c r="D25" s="22"/>
      <c r="E25" s="75" t="str">
        <f>"(다.소계 - 재료비) x "&amp;ROUND(M25,5)&amp;"% = "&amp;TEXT(J25,"#,##0")</f>
        <v>(다.소계 - 재료비) x 15% = 0</v>
      </c>
      <c r="F25" s="73"/>
      <c r="G25" s="74"/>
      <c r="H25" s="11" t="s">
        <v>196</v>
      </c>
      <c r="I25" s="31">
        <f>ROUND((J31-ROUNDDOWN(J31,-I24))/1.1,0)</f>
        <v>0</v>
      </c>
      <c r="J25" s="23">
        <f>ROUNDDOWN(((J24)-(E10))*M25/100,0)</f>
        <v>0</v>
      </c>
      <c r="K25" s="23">
        <f>ABS(L31-ROUNDDOWN(J31,-I24))*IF(L31&gt;ROUNDDOWN(J31,-I24),1,-1)</f>
        <v>0</v>
      </c>
      <c r="L25" s="23">
        <f>ROUNDDOWN(((L24)-(E10))*M25/100,0)-I25</f>
        <v>0</v>
      </c>
      <c r="M25" s="32">
        <v>15</v>
      </c>
      <c r="N25" s="16">
        <v>0</v>
      </c>
      <c r="O25" s="16">
        <v>0</v>
      </c>
      <c r="P25" s="16">
        <v>0</v>
      </c>
    </row>
    <row r="26" spans="1:16" ht="19.5" customHeight="1" x14ac:dyDescent="0.3">
      <c r="A26" s="6" t="s">
        <v>197</v>
      </c>
      <c r="B26" s="6" t="s">
        <v>198</v>
      </c>
      <c r="C26" s="5"/>
      <c r="D26" s="22"/>
      <c r="E26" s="72"/>
      <c r="F26" s="73"/>
      <c r="G26" s="74"/>
      <c r="H26" s="11" t="s">
        <v>199</v>
      </c>
      <c r="I26" s="16">
        <v>0</v>
      </c>
      <c r="J26" s="23">
        <f>(J24+J25)</f>
        <v>0</v>
      </c>
      <c r="L26" s="23">
        <f>(L24+L25)</f>
        <v>0</v>
      </c>
      <c r="M26" s="16">
        <v>0</v>
      </c>
      <c r="N26" s="16">
        <v>0</v>
      </c>
      <c r="O26" s="16">
        <v>0</v>
      </c>
      <c r="P26" s="16">
        <v>0</v>
      </c>
    </row>
    <row r="27" spans="1:16" ht="19.5" customHeight="1" x14ac:dyDescent="0.3">
      <c r="A27" s="6"/>
      <c r="B27" s="6" t="s">
        <v>200</v>
      </c>
      <c r="C27" s="5"/>
      <c r="D27" s="22"/>
      <c r="E27" s="75" t="str">
        <f>"공급가액 x "&amp;ROUND(M27,5)&amp;"%"</f>
        <v>공급가액 x 10%</v>
      </c>
      <c r="F27" s="73"/>
      <c r="G27" s="74"/>
      <c r="H27" s="11" t="s">
        <v>201</v>
      </c>
      <c r="I27" s="32">
        <v>0</v>
      </c>
      <c r="J27" s="23">
        <f>ROUNDDOWN((J26)*M27/100,0)+I27</f>
        <v>0</v>
      </c>
      <c r="L27" s="23">
        <f>ROUNDDOWN((L26)*M27/100,0)+I27</f>
        <v>0</v>
      </c>
      <c r="M27" s="32">
        <v>10</v>
      </c>
      <c r="N27" s="16">
        <v>0</v>
      </c>
      <c r="O27" s="16">
        <v>0</v>
      </c>
      <c r="P27" s="16">
        <v>0</v>
      </c>
    </row>
    <row r="28" spans="1:16" ht="19.5" customHeight="1" x14ac:dyDescent="0.3">
      <c r="A28" s="101" t="s">
        <v>202</v>
      </c>
      <c r="B28" s="102" t="s">
        <v>203</v>
      </c>
      <c r="C28" s="107"/>
      <c r="D28" s="103"/>
      <c r="E28" s="104"/>
      <c r="F28" s="105"/>
      <c r="G28" s="106"/>
      <c r="H28" s="11" t="s">
        <v>204</v>
      </c>
      <c r="I28" s="16">
        <v>0</v>
      </c>
      <c r="J28" s="23">
        <f>(J26+J27)</f>
        <v>0</v>
      </c>
      <c r="L28" s="23">
        <f>(L26+L27)</f>
        <v>0</v>
      </c>
      <c r="M28" s="16">
        <v>0</v>
      </c>
      <c r="N28" s="16">
        <v>0</v>
      </c>
      <c r="O28" s="16">
        <v>3</v>
      </c>
      <c r="P28" s="16">
        <v>0</v>
      </c>
    </row>
    <row r="29" spans="1:16" ht="19.5" customHeight="1" x14ac:dyDescent="0.3">
      <c r="A29" s="6"/>
      <c r="B29" s="6" t="s">
        <v>205</v>
      </c>
      <c r="C29" s="5"/>
      <c r="D29" s="22"/>
      <c r="E29" s="75" t="str">
        <f>"원자재대: "&amp;TEXT(I29,"#,0")&amp;" (조달수수료: "&amp;TEXT(O29,"#,0")&amp;" 포함)"</f>
        <v>원자재대: 397,133 (조달수수료: 2,133 포함)</v>
      </c>
      <c r="F29" s="73"/>
      <c r="G29" s="74"/>
      <c r="H29" s="11" t="s">
        <v>206</v>
      </c>
      <c r="I29" s="32">
        <v>397133</v>
      </c>
      <c r="J29" s="23">
        <f>ROUNDUP(I29,-3)</f>
        <v>398000</v>
      </c>
      <c r="L29" s="23">
        <f>ROUNDUP(I29,-3)</f>
        <v>398000</v>
      </c>
      <c r="M29" s="16">
        <v>3</v>
      </c>
      <c r="N29" s="16">
        <v>612225762</v>
      </c>
      <c r="O29" s="32">
        <v>2133</v>
      </c>
      <c r="P29" s="16">
        <v>0</v>
      </c>
    </row>
    <row r="30" spans="1:16" ht="19.5" customHeight="1" x14ac:dyDescent="0.3">
      <c r="A30" s="6"/>
      <c r="B30" s="6" t="s">
        <v>207</v>
      </c>
      <c r="C30" s="5"/>
      <c r="D30" s="22"/>
      <c r="E30" s="75" t="str">
        <f>"원자재대: "&amp;TEXT(I30,"#,0")&amp;""</f>
        <v>원자재대: 612,225,762</v>
      </c>
      <c r="F30" s="73"/>
      <c r="G30" s="74"/>
      <c r="H30" s="11" t="s">
        <v>208</v>
      </c>
      <c r="I30" s="32">
        <v>612225762</v>
      </c>
      <c r="J30" s="23">
        <f>ROUNDUP(I30,-3)</f>
        <v>612226000</v>
      </c>
      <c r="L30" s="23">
        <f>ROUNDUP(I30,-3)</f>
        <v>612226000</v>
      </c>
      <c r="M30" s="16">
        <v>3</v>
      </c>
      <c r="N30" s="16">
        <v>0</v>
      </c>
      <c r="O30" s="16">
        <v>0</v>
      </c>
      <c r="P30" s="16">
        <v>0</v>
      </c>
    </row>
    <row r="31" spans="1:16" ht="19.5" customHeight="1" x14ac:dyDescent="0.3">
      <c r="A31" s="6" t="s">
        <v>209</v>
      </c>
      <c r="B31" s="6" t="s">
        <v>210</v>
      </c>
      <c r="C31" s="5"/>
      <c r="D31" s="22">
        <f>(D28+D29+D30)</f>
        <v>0</v>
      </c>
      <c r="E31" s="72"/>
      <c r="F31" s="73"/>
      <c r="G31" s="74"/>
      <c r="H31" s="11" t="s">
        <v>211</v>
      </c>
      <c r="I31" s="16">
        <v>0</v>
      </c>
      <c r="J31" s="23">
        <f>(J28+J29+J30)</f>
        <v>612624000</v>
      </c>
      <c r="L31" s="23">
        <f>(L28+L29+L30)</f>
        <v>612624000</v>
      </c>
      <c r="M31" s="16">
        <v>0</v>
      </c>
      <c r="N31" s="16">
        <v>0</v>
      </c>
      <c r="O31" s="16">
        <v>3</v>
      </c>
      <c r="P31" s="16">
        <v>0</v>
      </c>
    </row>
  </sheetData>
  <mergeCells count="24">
    <mergeCell ref="I3:P3"/>
    <mergeCell ref="E19:G19"/>
    <mergeCell ref="A1:G1"/>
    <mergeCell ref="B4:C4"/>
    <mergeCell ref="E11:G11"/>
    <mergeCell ref="E12:G12"/>
    <mergeCell ref="E13:G13"/>
    <mergeCell ref="E14:G14"/>
    <mergeCell ref="E15:G15"/>
    <mergeCell ref="E16:G16"/>
    <mergeCell ref="E17:G17"/>
    <mergeCell ref="E18:G18"/>
    <mergeCell ref="E31:G31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</mergeCells>
  <phoneticPr fontId="10" type="noConversion"/>
  <conditionalFormatting sqref="D25">
    <cfRule type="expression" dxfId="2" priority="1" stopIfTrue="1">
      <formula>($I$25+$K$25)&lt;0</formula>
    </cfRule>
  </conditionalFormatting>
  <conditionalFormatting sqref="D31">
    <cfRule type="expression" dxfId="1" priority="2" stopIfTrue="1">
      <formula>"&lt;&gt;ROUNDDOWN($J$31,-$I$24)+$I$31*10^($I$24-1)"</formula>
    </cfRule>
  </conditionalFormatting>
  <hyperlinks>
    <hyperlink ref="H1" r:id="rId1" tooltip="설계예산시스템(STmate w25.06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91" fitToWidth="0" fitToHeight="0" orientation="landscape" r:id="rId2"/>
  <headerFooter alignWithMargins="0">
    <oddFooter xml:space="preserve">&amp;C&amp;"굴림체,"&amp;9 - &amp;P -&amp;R&amp;"굴림체,"&amp;9 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"/>
  <sheetViews>
    <sheetView tabSelected="1" zoomScale="115" zoomScaleNormal="115" workbookViewId="0">
      <pane ySplit="4" topLeftCell="A5" activePane="bottomLeft" state="frozenSplit"/>
      <selection pane="bottomLeft" activeCell="R16" sqref="Q16:R16"/>
    </sheetView>
  </sheetViews>
  <sheetFormatPr defaultColWidth="9.125" defaultRowHeight="16.5" x14ac:dyDescent="0.3"/>
  <cols>
    <col min="1" max="1" width="10" style="3" customWidth="1"/>
    <col min="2" max="2" width="24.25" style="3" customWidth="1"/>
    <col min="3" max="3" width="24.25" style="88" customWidth="1"/>
    <col min="4" max="4" width="10" style="88" customWidth="1"/>
    <col min="5" max="5" width="5.5" style="3" customWidth="1"/>
    <col min="6" max="6" width="10" style="3" customWidth="1"/>
    <col min="7" max="7" width="11.5" style="3" customWidth="1"/>
    <col min="8" max="8" width="10" style="3" customWidth="1"/>
    <col min="9" max="9" width="11.5" style="3" customWidth="1"/>
    <col min="10" max="10" width="10" style="3" customWidth="1"/>
    <col min="11" max="11" width="11.5" style="3" customWidth="1"/>
    <col min="12" max="12" width="10" style="3" customWidth="1"/>
    <col min="13" max="13" width="11.5" style="3" customWidth="1"/>
    <col min="14" max="14" width="10" style="3" customWidth="1"/>
    <col min="15" max="15" width="9.125" style="10" hidden="1" customWidth="1"/>
    <col min="16" max="16384" width="9.125" style="3"/>
  </cols>
  <sheetData>
    <row r="1" spans="1:15" ht="24.95" customHeight="1" x14ac:dyDescent="0.3">
      <c r="A1" s="70" t="s">
        <v>90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" t="s">
        <v>61</v>
      </c>
    </row>
    <row r="2" spans="1:15" ht="24.95" customHeight="1" x14ac:dyDescent="0.3">
      <c r="A2" s="1" t="s">
        <v>0</v>
      </c>
      <c r="O2" s="13" t="str">
        <f ca="1">MID(CELL("filename",$A$1),FIND("]",CELL("filename",$A$1))+1,LEN(CELL("filename",$A$1)))</f>
        <v>설계내역서</v>
      </c>
    </row>
    <row r="3" spans="1:15" ht="20.100000000000001" customHeight="1" x14ac:dyDescent="0.3">
      <c r="A3" s="83" t="s">
        <v>91</v>
      </c>
      <c r="B3" s="83" t="s">
        <v>2</v>
      </c>
      <c r="C3" s="83" t="s">
        <v>3</v>
      </c>
      <c r="D3" s="83" t="s">
        <v>92</v>
      </c>
      <c r="E3" s="83" t="s">
        <v>4</v>
      </c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  <c r="N3" s="84" t="s">
        <v>9</v>
      </c>
    </row>
    <row r="4" spans="1:15" ht="20.100000000000001" customHeight="1" x14ac:dyDescent="0.3">
      <c r="A4" s="85"/>
      <c r="B4" s="85"/>
      <c r="C4" s="89"/>
      <c r="D4" s="89"/>
      <c r="E4" s="85"/>
      <c r="F4" s="86" t="s">
        <v>64</v>
      </c>
      <c r="G4" s="86" t="s">
        <v>93</v>
      </c>
      <c r="H4" s="86" t="s">
        <v>64</v>
      </c>
      <c r="I4" s="86" t="s">
        <v>93</v>
      </c>
      <c r="J4" s="86" t="s">
        <v>64</v>
      </c>
      <c r="K4" s="86" t="s">
        <v>93</v>
      </c>
      <c r="L4" s="86" t="s">
        <v>64</v>
      </c>
      <c r="M4" s="86" t="s">
        <v>93</v>
      </c>
      <c r="N4" s="87"/>
    </row>
    <row r="5" spans="1:15" ht="24.95" customHeight="1" x14ac:dyDescent="0.3">
      <c r="A5" s="17" t="s">
        <v>95</v>
      </c>
      <c r="B5" s="80" t="s">
        <v>96</v>
      </c>
      <c r="C5" s="81"/>
      <c r="D5" s="15"/>
      <c r="E5" s="14"/>
      <c r="F5" s="18">
        <v>0</v>
      </c>
      <c r="G5" s="21"/>
      <c r="H5" s="7"/>
      <c r="I5" s="26"/>
      <c r="J5" s="8"/>
      <c r="K5" s="26"/>
      <c r="L5" s="8"/>
      <c r="M5" s="26"/>
      <c r="N5" s="14"/>
      <c r="O5" s="11" t="str">
        <f>"_x0007_`COD|E5_x0005_`QTY1|1_x0005_`EXI|0_x0005_`ITT|0_x0005_`END|"&amp;ROW(M34)&amp;"_x0005_`"</f>
        <v>_x0007_`COD|E5_x0005_`QTY1|1_x0005_`EXI|0_x0005_`ITT|0_x0005_`END|34_x0005_`</v>
      </c>
    </row>
    <row r="6" spans="1:15" ht="24.95" customHeight="1" x14ac:dyDescent="0.3">
      <c r="A6" s="17" t="s">
        <v>98</v>
      </c>
      <c r="B6" s="17" t="s">
        <v>99</v>
      </c>
      <c r="C6" s="90"/>
      <c r="D6" s="15"/>
      <c r="E6" s="14"/>
      <c r="F6" s="18"/>
      <c r="G6" s="21"/>
      <c r="H6" s="7"/>
      <c r="I6" s="26"/>
      <c r="J6" s="8"/>
      <c r="K6" s="26"/>
      <c r="L6" s="8"/>
      <c r="M6" s="26"/>
      <c r="N6" s="14"/>
      <c r="O6" s="11" t="str">
        <f>"_x0007_`COD|E4_x0005_`QTY1|1_x0005_`EXI|0_x0005_`ITT|0_x0005_`END|"&amp;ROW(M19)&amp;"_x0005_`"</f>
        <v>_x0007_`COD|E4_x0005_`QTY1|1_x0005_`EXI|0_x0005_`ITT|0_x0005_`END|19_x0005_`</v>
      </c>
    </row>
    <row r="7" spans="1:15" ht="24.95" customHeight="1" x14ac:dyDescent="0.3">
      <c r="A7" s="6"/>
      <c r="B7" s="6" t="s">
        <v>34</v>
      </c>
      <c r="C7" s="14" t="s">
        <v>35</v>
      </c>
      <c r="D7" s="91">
        <v>1</v>
      </c>
      <c r="E7" s="14" t="s">
        <v>36</v>
      </c>
      <c r="F7" s="19"/>
      <c r="G7" s="22">
        <f t="shared" ref="G7:G18" si="0">I7+K7+M7</f>
        <v>0</v>
      </c>
      <c r="H7" s="24"/>
      <c r="I7" s="7">
        <f t="shared" ref="I7:I18" si="1">ROUNDDOWN(H7*D7,0)</f>
        <v>0</v>
      </c>
      <c r="J7" s="27"/>
      <c r="K7" s="7">
        <f t="shared" ref="K7:K18" si="2">ROUNDDOWN(J7*D7,0)</f>
        <v>0</v>
      </c>
      <c r="L7" s="29"/>
      <c r="M7" s="8">
        <f t="shared" ref="M7:M18" si="3">ROUNDDOWN(L7*D7,0)</f>
        <v>0</v>
      </c>
      <c r="N7" s="14"/>
      <c r="O7" s="11" t="s">
        <v>100</v>
      </c>
    </row>
    <row r="8" spans="1:15" ht="24.95" customHeight="1" x14ac:dyDescent="0.3">
      <c r="A8" s="6"/>
      <c r="B8" s="6" t="s">
        <v>37</v>
      </c>
      <c r="C8" s="14" t="s">
        <v>38</v>
      </c>
      <c r="D8" s="91">
        <v>1</v>
      </c>
      <c r="E8" s="14" t="s">
        <v>36</v>
      </c>
      <c r="F8" s="19"/>
      <c r="G8" s="22">
        <f t="shared" si="0"/>
        <v>0</v>
      </c>
      <c r="H8" s="24"/>
      <c r="I8" s="7">
        <f t="shared" si="1"/>
        <v>0</v>
      </c>
      <c r="J8" s="27"/>
      <c r="K8" s="7">
        <f t="shared" si="2"/>
        <v>0</v>
      </c>
      <c r="L8" s="29"/>
      <c r="M8" s="8">
        <f t="shared" si="3"/>
        <v>0</v>
      </c>
      <c r="N8" s="14"/>
      <c r="O8" s="11" t="s">
        <v>101</v>
      </c>
    </row>
    <row r="9" spans="1:15" ht="24.95" customHeight="1" x14ac:dyDescent="0.3">
      <c r="A9" s="6"/>
      <c r="B9" s="6" t="s">
        <v>39</v>
      </c>
      <c r="C9" s="14" t="s">
        <v>40</v>
      </c>
      <c r="D9" s="91">
        <v>336</v>
      </c>
      <c r="E9" s="14" t="s">
        <v>10</v>
      </c>
      <c r="F9" s="19">
        <f t="shared" ref="F9:F18" si="4">H9+J9+L9</f>
        <v>0</v>
      </c>
      <c r="G9" s="22">
        <f t="shared" si="0"/>
        <v>0</v>
      </c>
      <c r="H9" s="24"/>
      <c r="I9" s="7">
        <f t="shared" si="1"/>
        <v>0</v>
      </c>
      <c r="J9" s="27"/>
      <c r="K9" s="7">
        <f t="shared" si="2"/>
        <v>0</v>
      </c>
      <c r="L9" s="29"/>
      <c r="M9" s="8">
        <f t="shared" si="3"/>
        <v>0</v>
      </c>
      <c r="N9" s="14"/>
      <c r="O9" s="11" t="s">
        <v>102</v>
      </c>
    </row>
    <row r="10" spans="1:15" ht="24.95" customHeight="1" x14ac:dyDescent="0.3">
      <c r="A10" s="6"/>
      <c r="B10" s="6" t="s">
        <v>44</v>
      </c>
      <c r="C10" s="14" t="s">
        <v>45</v>
      </c>
      <c r="D10" s="91">
        <v>8</v>
      </c>
      <c r="E10" s="14" t="s">
        <v>36</v>
      </c>
      <c r="F10" s="19">
        <f t="shared" si="4"/>
        <v>0</v>
      </c>
      <c r="G10" s="22">
        <f t="shared" si="0"/>
        <v>0</v>
      </c>
      <c r="H10" s="24"/>
      <c r="I10" s="7">
        <f t="shared" si="1"/>
        <v>0</v>
      </c>
      <c r="J10" s="27"/>
      <c r="K10" s="7">
        <f t="shared" si="2"/>
        <v>0</v>
      </c>
      <c r="L10" s="29"/>
      <c r="M10" s="8">
        <f t="shared" si="3"/>
        <v>0</v>
      </c>
      <c r="N10" s="14"/>
      <c r="O10" s="11" t="s">
        <v>103</v>
      </c>
    </row>
    <row r="11" spans="1:15" ht="24.95" customHeight="1" x14ac:dyDescent="0.3">
      <c r="A11" s="6"/>
      <c r="B11" s="6" t="s">
        <v>46</v>
      </c>
      <c r="C11" s="14" t="s">
        <v>47</v>
      </c>
      <c r="D11" s="91">
        <v>30</v>
      </c>
      <c r="E11" s="14" t="s">
        <v>36</v>
      </c>
      <c r="F11" s="19">
        <f t="shared" si="4"/>
        <v>0</v>
      </c>
      <c r="G11" s="22">
        <f t="shared" si="0"/>
        <v>0</v>
      </c>
      <c r="H11" s="24"/>
      <c r="I11" s="7">
        <f t="shared" si="1"/>
        <v>0</v>
      </c>
      <c r="J11" s="27"/>
      <c r="K11" s="7">
        <f t="shared" si="2"/>
        <v>0</v>
      </c>
      <c r="L11" s="29"/>
      <c r="M11" s="8">
        <f t="shared" si="3"/>
        <v>0</v>
      </c>
      <c r="N11" s="14"/>
      <c r="O11" s="11" t="s">
        <v>104</v>
      </c>
    </row>
    <row r="12" spans="1:15" ht="24.95" customHeight="1" x14ac:dyDescent="0.3">
      <c r="A12" s="6"/>
      <c r="B12" s="6" t="s">
        <v>17</v>
      </c>
      <c r="C12" s="14" t="s">
        <v>18</v>
      </c>
      <c r="D12" s="91">
        <v>32.5</v>
      </c>
      <c r="E12" s="14" t="s">
        <v>19</v>
      </c>
      <c r="F12" s="19">
        <f t="shared" si="4"/>
        <v>0</v>
      </c>
      <c r="G12" s="22">
        <f t="shared" si="0"/>
        <v>0</v>
      </c>
      <c r="H12" s="24"/>
      <c r="I12" s="7">
        <f t="shared" si="1"/>
        <v>0</v>
      </c>
      <c r="J12" s="27"/>
      <c r="K12" s="7">
        <f t="shared" si="2"/>
        <v>0</v>
      </c>
      <c r="L12" s="29"/>
      <c r="M12" s="8">
        <f t="shared" si="3"/>
        <v>0</v>
      </c>
      <c r="N12" s="14"/>
      <c r="O12" s="11" t="s">
        <v>105</v>
      </c>
    </row>
    <row r="13" spans="1:15" ht="24.95" customHeight="1" x14ac:dyDescent="0.3">
      <c r="A13" s="6"/>
      <c r="B13" s="6" t="s">
        <v>41</v>
      </c>
      <c r="C13" s="14" t="s">
        <v>42</v>
      </c>
      <c r="D13" s="91">
        <v>336.9</v>
      </c>
      <c r="E13" s="14" t="s">
        <v>10</v>
      </c>
      <c r="F13" s="19">
        <f t="shared" si="4"/>
        <v>0</v>
      </c>
      <c r="G13" s="22">
        <f t="shared" si="0"/>
        <v>0</v>
      </c>
      <c r="H13" s="24"/>
      <c r="I13" s="7">
        <f t="shared" si="1"/>
        <v>0</v>
      </c>
      <c r="J13" s="27"/>
      <c r="K13" s="7">
        <f t="shared" si="2"/>
        <v>0</v>
      </c>
      <c r="L13" s="29"/>
      <c r="M13" s="8">
        <f t="shared" si="3"/>
        <v>0</v>
      </c>
      <c r="N13" s="14"/>
      <c r="O13" s="11" t="s">
        <v>106</v>
      </c>
    </row>
    <row r="14" spans="1:15" ht="24.95" customHeight="1" x14ac:dyDescent="0.3">
      <c r="A14" s="6"/>
      <c r="B14" s="6" t="s">
        <v>43</v>
      </c>
      <c r="C14" s="14" t="s">
        <v>14</v>
      </c>
      <c r="D14" s="91">
        <v>8</v>
      </c>
      <c r="E14" s="14" t="s">
        <v>15</v>
      </c>
      <c r="F14" s="19">
        <f t="shared" si="4"/>
        <v>0</v>
      </c>
      <c r="G14" s="22">
        <f t="shared" si="0"/>
        <v>0</v>
      </c>
      <c r="H14" s="24"/>
      <c r="I14" s="7">
        <f t="shared" si="1"/>
        <v>0</v>
      </c>
      <c r="J14" s="27"/>
      <c r="K14" s="7">
        <f t="shared" si="2"/>
        <v>0</v>
      </c>
      <c r="L14" s="29"/>
      <c r="M14" s="8">
        <f t="shared" si="3"/>
        <v>0</v>
      </c>
      <c r="N14" s="14"/>
      <c r="O14" s="11" t="s">
        <v>107</v>
      </c>
    </row>
    <row r="15" spans="1:15" ht="24.95" customHeight="1" x14ac:dyDescent="0.3">
      <c r="A15" s="6"/>
      <c r="B15" s="6" t="s">
        <v>58</v>
      </c>
      <c r="C15" s="14"/>
      <c r="D15" s="91">
        <v>30</v>
      </c>
      <c r="E15" s="14" t="s">
        <v>20</v>
      </c>
      <c r="F15" s="19">
        <f t="shared" si="4"/>
        <v>0</v>
      </c>
      <c r="G15" s="22">
        <f t="shared" si="0"/>
        <v>0</v>
      </c>
      <c r="H15" s="24"/>
      <c r="I15" s="7">
        <f t="shared" si="1"/>
        <v>0</v>
      </c>
      <c r="J15" s="27"/>
      <c r="K15" s="7">
        <f t="shared" si="2"/>
        <v>0</v>
      </c>
      <c r="L15" s="29"/>
      <c r="M15" s="8">
        <f t="shared" si="3"/>
        <v>0</v>
      </c>
      <c r="N15" s="14"/>
      <c r="O15" s="11" t="s">
        <v>108</v>
      </c>
    </row>
    <row r="16" spans="1:15" ht="24.95" customHeight="1" x14ac:dyDescent="0.3">
      <c r="A16" s="6"/>
      <c r="B16" s="6" t="s">
        <v>55</v>
      </c>
      <c r="C16" s="14" t="s">
        <v>56</v>
      </c>
      <c r="D16" s="91">
        <v>6</v>
      </c>
      <c r="E16" s="14" t="s">
        <v>16</v>
      </c>
      <c r="F16" s="19">
        <f t="shared" si="4"/>
        <v>0</v>
      </c>
      <c r="G16" s="22">
        <f t="shared" si="0"/>
        <v>0</v>
      </c>
      <c r="H16" s="24"/>
      <c r="I16" s="7">
        <f t="shared" si="1"/>
        <v>0</v>
      </c>
      <c r="J16" s="27"/>
      <c r="K16" s="7">
        <f t="shared" si="2"/>
        <v>0</v>
      </c>
      <c r="L16" s="29"/>
      <c r="M16" s="8">
        <f t="shared" si="3"/>
        <v>0</v>
      </c>
      <c r="N16" s="14"/>
      <c r="O16" s="11" t="s">
        <v>109</v>
      </c>
    </row>
    <row r="17" spans="1:15" ht="24.95" customHeight="1" x14ac:dyDescent="0.3">
      <c r="A17" s="6"/>
      <c r="B17" s="6" t="s">
        <v>55</v>
      </c>
      <c r="C17" s="14" t="s">
        <v>57</v>
      </c>
      <c r="D17" s="91">
        <v>3</v>
      </c>
      <c r="E17" s="14" t="s">
        <v>16</v>
      </c>
      <c r="F17" s="19">
        <f t="shared" si="4"/>
        <v>0</v>
      </c>
      <c r="G17" s="22">
        <f t="shared" si="0"/>
        <v>0</v>
      </c>
      <c r="H17" s="24"/>
      <c r="I17" s="7">
        <f t="shared" si="1"/>
        <v>0</v>
      </c>
      <c r="J17" s="27"/>
      <c r="K17" s="7">
        <f t="shared" si="2"/>
        <v>0</v>
      </c>
      <c r="L17" s="29"/>
      <c r="M17" s="8">
        <f t="shared" si="3"/>
        <v>0</v>
      </c>
      <c r="N17" s="14"/>
      <c r="O17" s="11" t="s">
        <v>110</v>
      </c>
    </row>
    <row r="18" spans="1:15" ht="24.95" customHeight="1" x14ac:dyDescent="0.3">
      <c r="A18" s="6"/>
      <c r="B18" s="6" t="s">
        <v>59</v>
      </c>
      <c r="C18" s="14" t="s">
        <v>60</v>
      </c>
      <c r="D18" s="91">
        <v>3</v>
      </c>
      <c r="E18" s="14" t="s">
        <v>16</v>
      </c>
      <c r="F18" s="19">
        <f t="shared" si="4"/>
        <v>0</v>
      </c>
      <c r="G18" s="22">
        <f t="shared" si="0"/>
        <v>0</v>
      </c>
      <c r="H18" s="24"/>
      <c r="I18" s="7">
        <f t="shared" si="1"/>
        <v>0</v>
      </c>
      <c r="J18" s="27"/>
      <c r="K18" s="7">
        <f t="shared" si="2"/>
        <v>0</v>
      </c>
      <c r="L18" s="29"/>
      <c r="M18" s="8">
        <f t="shared" si="3"/>
        <v>0</v>
      </c>
      <c r="N18" s="14"/>
      <c r="O18" s="11" t="s">
        <v>111</v>
      </c>
    </row>
    <row r="19" spans="1:15" ht="24.95" customHeight="1" x14ac:dyDescent="0.3">
      <c r="A19" s="17" t="s">
        <v>112</v>
      </c>
      <c r="B19" s="17" t="s">
        <v>113</v>
      </c>
      <c r="C19" s="90"/>
      <c r="D19" s="15"/>
      <c r="E19" s="14"/>
      <c r="F19" s="18">
        <v>0</v>
      </c>
      <c r="G19" s="21"/>
      <c r="H19" s="7"/>
      <c r="I19" s="26"/>
      <c r="J19" s="8"/>
      <c r="K19" s="26"/>
      <c r="L19" s="8"/>
      <c r="M19" s="26"/>
      <c r="N19" s="14"/>
      <c r="O19" s="11" t="str">
        <f>"_x0007_`COD|E4_x0005_`QTY1|1_x0005_`EXI|0_x0005_`ITT|0_x0005_`END|"&amp;ROW(M27)&amp;"_x0005_`"</f>
        <v>_x0007_`COD|E4_x0005_`QTY1|1_x0005_`EXI|0_x0005_`ITT|0_x0005_`END|27_x0005_`</v>
      </c>
    </row>
    <row r="20" spans="1:15" ht="24.95" customHeight="1" x14ac:dyDescent="0.3">
      <c r="A20" s="6"/>
      <c r="B20" s="6" t="s">
        <v>22</v>
      </c>
      <c r="C20" s="14" t="s">
        <v>23</v>
      </c>
      <c r="D20" s="91">
        <v>1</v>
      </c>
      <c r="E20" s="14" t="s">
        <v>21</v>
      </c>
      <c r="F20" s="19">
        <f t="shared" ref="F20:G26" si="5">H20+J20+L20</f>
        <v>0</v>
      </c>
      <c r="G20" s="22">
        <f t="shared" si="5"/>
        <v>0</v>
      </c>
      <c r="H20" s="24"/>
      <c r="I20" s="7">
        <f t="shared" ref="I20:I26" si="6">ROUNDDOWN(H20*D20,0)</f>
        <v>0</v>
      </c>
      <c r="J20" s="27"/>
      <c r="K20" s="7">
        <f t="shared" ref="K20:K26" si="7">ROUNDDOWN(J20*D20,0)</f>
        <v>0</v>
      </c>
      <c r="L20" s="29"/>
      <c r="M20" s="8">
        <f t="shared" ref="M20:M26" si="8">ROUNDDOWN(L20*D20,0)</f>
        <v>0</v>
      </c>
      <c r="N20" s="14"/>
      <c r="O20" s="11" t="s">
        <v>114</v>
      </c>
    </row>
    <row r="21" spans="1:15" ht="24.95" customHeight="1" x14ac:dyDescent="0.3">
      <c r="A21" s="6"/>
      <c r="B21" s="6" t="s">
        <v>24</v>
      </c>
      <c r="C21" s="14" t="s">
        <v>25</v>
      </c>
      <c r="D21" s="91">
        <v>1</v>
      </c>
      <c r="E21" s="14" t="s">
        <v>21</v>
      </c>
      <c r="F21" s="19">
        <f t="shared" si="5"/>
        <v>0</v>
      </c>
      <c r="G21" s="22">
        <f t="shared" si="5"/>
        <v>0</v>
      </c>
      <c r="H21" s="24"/>
      <c r="I21" s="7">
        <f t="shared" si="6"/>
        <v>0</v>
      </c>
      <c r="J21" s="27"/>
      <c r="K21" s="7">
        <f t="shared" si="7"/>
        <v>0</v>
      </c>
      <c r="L21" s="29"/>
      <c r="M21" s="8">
        <f t="shared" si="8"/>
        <v>0</v>
      </c>
      <c r="N21" s="14"/>
      <c r="O21" s="11" t="s">
        <v>115</v>
      </c>
    </row>
    <row r="22" spans="1:15" ht="24.95" customHeight="1" x14ac:dyDescent="0.3">
      <c r="A22" s="6"/>
      <c r="B22" s="6" t="s">
        <v>26</v>
      </c>
      <c r="C22" s="14" t="s">
        <v>27</v>
      </c>
      <c r="D22" s="91">
        <v>1</v>
      </c>
      <c r="E22" s="14" t="s">
        <v>21</v>
      </c>
      <c r="F22" s="19">
        <f t="shared" si="5"/>
        <v>0</v>
      </c>
      <c r="G22" s="22">
        <f t="shared" si="5"/>
        <v>0</v>
      </c>
      <c r="H22" s="24"/>
      <c r="I22" s="7">
        <f t="shared" si="6"/>
        <v>0</v>
      </c>
      <c r="J22" s="27"/>
      <c r="K22" s="7">
        <f t="shared" si="7"/>
        <v>0</v>
      </c>
      <c r="L22" s="29"/>
      <c r="M22" s="8">
        <f t="shared" si="8"/>
        <v>0</v>
      </c>
      <c r="N22" s="14"/>
      <c r="O22" s="11" t="s">
        <v>116</v>
      </c>
    </row>
    <row r="23" spans="1:15" ht="24.95" customHeight="1" x14ac:dyDescent="0.3">
      <c r="A23" s="6"/>
      <c r="B23" s="6" t="s">
        <v>30</v>
      </c>
      <c r="C23" s="14" t="s">
        <v>31</v>
      </c>
      <c r="D23" s="91">
        <v>1</v>
      </c>
      <c r="E23" s="14" t="s">
        <v>21</v>
      </c>
      <c r="F23" s="19">
        <f t="shared" si="5"/>
        <v>0</v>
      </c>
      <c r="G23" s="22">
        <f t="shared" si="5"/>
        <v>0</v>
      </c>
      <c r="H23" s="24"/>
      <c r="I23" s="7">
        <f t="shared" si="6"/>
        <v>0</v>
      </c>
      <c r="J23" s="27"/>
      <c r="K23" s="7">
        <f t="shared" si="7"/>
        <v>0</v>
      </c>
      <c r="L23" s="29"/>
      <c r="M23" s="8">
        <f t="shared" si="8"/>
        <v>0</v>
      </c>
      <c r="N23" s="14"/>
      <c r="O23" s="11" t="s">
        <v>117</v>
      </c>
    </row>
    <row r="24" spans="1:15" ht="24.95" customHeight="1" x14ac:dyDescent="0.3">
      <c r="A24" s="6"/>
      <c r="B24" s="6" t="s">
        <v>32</v>
      </c>
      <c r="C24" s="14" t="s">
        <v>33</v>
      </c>
      <c r="D24" s="91">
        <v>1</v>
      </c>
      <c r="E24" s="14" t="s">
        <v>21</v>
      </c>
      <c r="F24" s="19">
        <f t="shared" si="5"/>
        <v>0</v>
      </c>
      <c r="G24" s="22">
        <f t="shared" si="5"/>
        <v>0</v>
      </c>
      <c r="H24" s="24"/>
      <c r="I24" s="7">
        <f t="shared" si="6"/>
        <v>0</v>
      </c>
      <c r="J24" s="27"/>
      <c r="K24" s="7">
        <f t="shared" si="7"/>
        <v>0</v>
      </c>
      <c r="L24" s="29"/>
      <c r="M24" s="8">
        <f t="shared" si="8"/>
        <v>0</v>
      </c>
      <c r="N24" s="14"/>
      <c r="O24" s="11" t="s">
        <v>118</v>
      </c>
    </row>
    <row r="25" spans="1:15" ht="24.95" customHeight="1" x14ac:dyDescent="0.3">
      <c r="A25" s="6"/>
      <c r="B25" s="6" t="s">
        <v>48</v>
      </c>
      <c r="C25" s="14" t="s">
        <v>49</v>
      </c>
      <c r="D25" s="91">
        <v>1</v>
      </c>
      <c r="E25" s="14" t="s">
        <v>21</v>
      </c>
      <c r="F25" s="19">
        <f t="shared" si="5"/>
        <v>0</v>
      </c>
      <c r="G25" s="22">
        <f t="shared" si="5"/>
        <v>0</v>
      </c>
      <c r="H25" s="24"/>
      <c r="I25" s="7">
        <f t="shared" si="6"/>
        <v>0</v>
      </c>
      <c r="J25" s="27"/>
      <c r="K25" s="7">
        <f t="shared" si="7"/>
        <v>0</v>
      </c>
      <c r="L25" s="29"/>
      <c r="M25" s="8">
        <f t="shared" si="8"/>
        <v>0</v>
      </c>
      <c r="N25" s="14"/>
      <c r="O25" s="11" t="s">
        <v>119</v>
      </c>
    </row>
    <row r="26" spans="1:15" ht="24.95" customHeight="1" x14ac:dyDescent="0.3">
      <c r="A26" s="6"/>
      <c r="B26" s="6" t="s">
        <v>28</v>
      </c>
      <c r="C26" s="14" t="s">
        <v>29</v>
      </c>
      <c r="D26" s="91">
        <v>1</v>
      </c>
      <c r="E26" s="14" t="s">
        <v>21</v>
      </c>
      <c r="F26" s="19">
        <f t="shared" si="5"/>
        <v>0</v>
      </c>
      <c r="G26" s="22">
        <f t="shared" si="5"/>
        <v>0</v>
      </c>
      <c r="H26" s="24"/>
      <c r="I26" s="7">
        <f t="shared" si="6"/>
        <v>0</v>
      </c>
      <c r="J26" s="27"/>
      <c r="K26" s="7">
        <f t="shared" si="7"/>
        <v>0</v>
      </c>
      <c r="L26" s="29"/>
      <c r="M26" s="8">
        <f t="shared" si="8"/>
        <v>0</v>
      </c>
      <c r="N26" s="14"/>
      <c r="O26" s="11" t="s">
        <v>120</v>
      </c>
    </row>
    <row r="27" spans="1:15" ht="24.95" customHeight="1" x14ac:dyDescent="0.3">
      <c r="A27" s="17" t="s">
        <v>121</v>
      </c>
      <c r="B27" s="17" t="s">
        <v>122</v>
      </c>
      <c r="C27" s="90"/>
      <c r="D27" s="15"/>
      <c r="E27" s="14"/>
      <c r="F27" s="18">
        <v>0</v>
      </c>
      <c r="G27" s="21"/>
      <c r="H27" s="7"/>
      <c r="I27" s="26"/>
      <c r="J27" s="8"/>
      <c r="K27" s="26"/>
      <c r="L27" s="8"/>
      <c r="M27" s="26"/>
      <c r="N27" s="14"/>
      <c r="O27" s="11" t="str">
        <f>"_x0007_`COD|E4_x0005_`QTY1|1_x0005_`EXI|0_x0005_`ITT|0_x0005_`END|"&amp;ROW(M29)&amp;"_x0005_`"</f>
        <v>_x0007_`COD|E4_x0005_`QTY1|1_x0005_`EXI|0_x0005_`ITT|0_x0005_`END|29_x0005_`</v>
      </c>
    </row>
    <row r="28" spans="1:15" ht="24.95" customHeight="1" x14ac:dyDescent="0.3">
      <c r="A28" s="6"/>
      <c r="B28" s="6" t="s">
        <v>13</v>
      </c>
      <c r="C28" s="14" t="s">
        <v>14</v>
      </c>
      <c r="D28" s="91">
        <v>8</v>
      </c>
      <c r="E28" s="14" t="s">
        <v>15</v>
      </c>
      <c r="F28" s="19">
        <f>H28+J28+L28</f>
        <v>0</v>
      </c>
      <c r="G28" s="22"/>
      <c r="H28" s="24"/>
      <c r="I28" s="7"/>
      <c r="J28" s="27"/>
      <c r="K28" s="7"/>
      <c r="L28" s="29"/>
      <c r="M28" s="8"/>
      <c r="N28" s="14"/>
      <c r="O28" s="11" t="s">
        <v>123</v>
      </c>
    </row>
    <row r="29" spans="1:15" ht="24.95" customHeight="1" x14ac:dyDescent="0.3">
      <c r="A29" s="17" t="s">
        <v>124</v>
      </c>
      <c r="B29" s="17" t="s">
        <v>125</v>
      </c>
      <c r="C29" s="90"/>
      <c r="D29" s="15"/>
      <c r="E29" s="14"/>
      <c r="F29" s="18">
        <v>0</v>
      </c>
      <c r="G29" s="21"/>
      <c r="H29" s="7"/>
      <c r="I29" s="26"/>
      <c r="J29" s="8"/>
      <c r="K29" s="26"/>
      <c r="L29" s="8"/>
      <c r="M29" s="26"/>
      <c r="N29" s="14"/>
      <c r="O29" s="11" t="str">
        <f>"_x0007_`COD|E4_x0005_`QTY1|1_x0005_`EXI|0_x0005_`ITT|0_x0005_`END|"&amp;ROW(M34)&amp;"_x0005_`"</f>
        <v>_x0007_`COD|E4_x0005_`QTY1|1_x0005_`EXI|0_x0005_`ITT|0_x0005_`END|34_x0005_`</v>
      </c>
    </row>
    <row r="30" spans="1:15" ht="24.95" customHeight="1" x14ac:dyDescent="0.3">
      <c r="A30" s="6"/>
      <c r="B30" s="6" t="s">
        <v>52</v>
      </c>
      <c r="C30" s="14" t="s">
        <v>53</v>
      </c>
      <c r="D30" s="91">
        <v>17</v>
      </c>
      <c r="E30" s="14" t="s">
        <v>16</v>
      </c>
      <c r="F30" s="19">
        <f t="shared" ref="F30:G33" si="9">H30+J30+L30</f>
        <v>0</v>
      </c>
      <c r="G30" s="22">
        <f t="shared" si="9"/>
        <v>0</v>
      </c>
      <c r="H30" s="24"/>
      <c r="I30" s="7">
        <f>ROUNDDOWN(H30*D30,0)</f>
        <v>0</v>
      </c>
      <c r="J30" s="27"/>
      <c r="K30" s="7">
        <f>ROUNDDOWN(J30*D30,0)</f>
        <v>0</v>
      </c>
      <c r="L30" s="29"/>
      <c r="M30" s="8">
        <f>ROUNDDOWN(L30*D30,0)</f>
        <v>0</v>
      </c>
      <c r="N30" s="14"/>
      <c r="O30" s="11" t="s">
        <v>126</v>
      </c>
    </row>
    <row r="31" spans="1:15" ht="24.95" customHeight="1" x14ac:dyDescent="0.3">
      <c r="A31" s="6"/>
      <c r="B31" s="6" t="s">
        <v>52</v>
      </c>
      <c r="C31" s="14" t="s">
        <v>54</v>
      </c>
      <c r="D31" s="91">
        <v>2</v>
      </c>
      <c r="E31" s="14" t="s">
        <v>16</v>
      </c>
      <c r="F31" s="19">
        <f t="shared" si="9"/>
        <v>0</v>
      </c>
      <c r="G31" s="22">
        <f t="shared" si="9"/>
        <v>0</v>
      </c>
      <c r="H31" s="24"/>
      <c r="I31" s="7">
        <f>ROUNDDOWN(H31*D31,0)</f>
        <v>0</v>
      </c>
      <c r="J31" s="27"/>
      <c r="K31" s="7">
        <f>ROUNDDOWN(J31*D31,0)</f>
        <v>0</v>
      </c>
      <c r="L31" s="29"/>
      <c r="M31" s="8">
        <f>ROUNDDOWN(L31*D31,0)</f>
        <v>0</v>
      </c>
      <c r="N31" s="14"/>
      <c r="O31" s="11" t="s">
        <v>127</v>
      </c>
    </row>
    <row r="32" spans="1:15" ht="24.95" customHeight="1" x14ac:dyDescent="0.3">
      <c r="A32" s="6"/>
      <c r="B32" s="6" t="s">
        <v>50</v>
      </c>
      <c r="C32" s="14" t="s">
        <v>51</v>
      </c>
      <c r="D32" s="91">
        <v>1</v>
      </c>
      <c r="E32" s="14" t="s">
        <v>16</v>
      </c>
      <c r="F32" s="19">
        <f t="shared" si="9"/>
        <v>0</v>
      </c>
      <c r="G32" s="22">
        <f t="shared" si="9"/>
        <v>0</v>
      </c>
      <c r="H32" s="24"/>
      <c r="I32" s="7">
        <f>ROUNDDOWN(H32*D32,0)</f>
        <v>0</v>
      </c>
      <c r="J32" s="27"/>
      <c r="K32" s="7">
        <f>ROUNDDOWN(J32*D32,0)</f>
        <v>0</v>
      </c>
      <c r="L32" s="29"/>
      <c r="M32" s="8">
        <f>ROUNDDOWN(L32*D32,0)</f>
        <v>0</v>
      </c>
      <c r="N32" s="14"/>
      <c r="O32" s="11" t="s">
        <v>128</v>
      </c>
    </row>
    <row r="33" spans="1:15" ht="24.95" customHeight="1" x14ac:dyDescent="0.3">
      <c r="A33" s="6"/>
      <c r="B33" s="6" t="s">
        <v>11</v>
      </c>
      <c r="C33" s="14" t="s">
        <v>12</v>
      </c>
      <c r="D33" s="91">
        <v>44</v>
      </c>
      <c r="E33" s="14" t="s">
        <v>10</v>
      </c>
      <c r="F33" s="19">
        <f t="shared" si="9"/>
        <v>0</v>
      </c>
      <c r="G33" s="22">
        <f t="shared" si="9"/>
        <v>0</v>
      </c>
      <c r="H33" s="24"/>
      <c r="I33" s="7">
        <f>ROUNDDOWN(H33*D33,0)</f>
        <v>0</v>
      </c>
      <c r="J33" s="27"/>
      <c r="K33" s="7">
        <f>ROUNDDOWN(J33*D33,0)</f>
        <v>0</v>
      </c>
      <c r="L33" s="29"/>
      <c r="M33" s="8">
        <f>ROUNDDOWN(L33*D33,0)</f>
        <v>0</v>
      </c>
      <c r="N33" s="14"/>
      <c r="O33" s="11" t="s">
        <v>129</v>
      </c>
    </row>
    <row r="34" spans="1:15" ht="24.95" customHeight="1" x14ac:dyDescent="0.3">
      <c r="A34" s="6"/>
      <c r="B34" s="6" t="s">
        <v>361</v>
      </c>
      <c r="C34" s="5" t="s">
        <v>362</v>
      </c>
      <c r="D34" s="14" t="s">
        <v>363</v>
      </c>
      <c r="E34" s="14" t="s">
        <v>16</v>
      </c>
      <c r="F34" s="20"/>
      <c r="G34" s="20"/>
      <c r="H34" s="20"/>
      <c r="I34" s="20"/>
      <c r="J34" s="20"/>
      <c r="K34" s="20"/>
      <c r="L34" s="20"/>
      <c r="M34" s="20"/>
      <c r="N34" s="14"/>
    </row>
    <row r="35" spans="1:15" ht="24.95" customHeight="1" x14ac:dyDescent="0.3">
      <c r="A35" s="17" t="s">
        <v>97</v>
      </c>
      <c r="B35" s="17" t="s">
        <v>130</v>
      </c>
      <c r="C35" s="90"/>
      <c r="D35" s="15"/>
      <c r="E35" s="14"/>
      <c r="F35" s="18">
        <v>0</v>
      </c>
      <c r="G35" s="59"/>
      <c r="H35" s="7"/>
      <c r="I35" s="26"/>
      <c r="J35" s="8"/>
      <c r="K35" s="26"/>
      <c r="L35" s="8"/>
      <c r="M35" s="26"/>
      <c r="N35" s="14" t="s">
        <v>131</v>
      </c>
      <c r="O35" s="11" t="e">
        <f>"_x0007_`COD|C4_x0005_`QTY1|1_x0005_`EXI|1_x0005_`ITT|0_x0005_`END|"&amp;ROW(#REF!)&amp;"_x0005_`"</f>
        <v>#REF!</v>
      </c>
    </row>
    <row r="36" spans="1:15" ht="24.95" customHeight="1" x14ac:dyDescent="0.3">
      <c r="A36" s="6" t="s">
        <v>133</v>
      </c>
      <c r="B36" s="6" t="s">
        <v>134</v>
      </c>
      <c r="C36" s="14"/>
      <c r="D36" s="15"/>
      <c r="E36" s="14"/>
      <c r="F36" s="18">
        <v>0</v>
      </c>
      <c r="G36" s="21"/>
      <c r="H36" s="7"/>
      <c r="I36" s="26"/>
      <c r="J36" s="8"/>
      <c r="K36" s="26"/>
      <c r="L36" s="8"/>
      <c r="M36" s="26"/>
      <c r="N36" s="14"/>
      <c r="O36" s="11" t="str">
        <f>"_x0007_`COD|E3_x0005_`QTY1|1_x0005_`EXI|0_x0005_`ITT|0_x0005_`END|"&amp;ROW(M47)&amp;"_x0005_`"</f>
        <v>_x0007_`COD|E3_x0005_`QTY1|1_x0005_`EXI|0_x0005_`ITT|0_x0005_`END|47_x0005_`</v>
      </c>
    </row>
    <row r="37" spans="1:15" ht="24.95" customHeight="1" x14ac:dyDescent="0.3">
      <c r="A37" s="6"/>
      <c r="B37" s="6" t="s">
        <v>365</v>
      </c>
      <c r="C37" s="14" t="s">
        <v>67</v>
      </c>
      <c r="D37" s="91">
        <v>403</v>
      </c>
      <c r="E37" s="14" t="s">
        <v>10</v>
      </c>
      <c r="F37" s="58"/>
      <c r="G37" s="22">
        <f t="shared" ref="G37:G46" si="10">I37+K37+M37</f>
        <v>0</v>
      </c>
      <c r="H37" s="24"/>
      <c r="I37" s="7">
        <f t="shared" ref="I37:I45" si="11">ROUNDDOWN(H37*D37,0)</f>
        <v>0</v>
      </c>
      <c r="J37" s="28">
        <v>0</v>
      </c>
      <c r="K37" s="8">
        <f t="shared" ref="K37:K45" si="12">ROUNDDOWN(J37*D37,0)</f>
        <v>0</v>
      </c>
      <c r="L37" s="28"/>
      <c r="M37" s="8">
        <f t="shared" ref="M37:M45" si="13">ROUNDDOWN(L37*D37,0)</f>
        <v>0</v>
      </c>
      <c r="N37" s="14" t="s">
        <v>136</v>
      </c>
      <c r="O37" s="11" t="s">
        <v>135</v>
      </c>
    </row>
    <row r="38" spans="1:15" ht="24.95" customHeight="1" x14ac:dyDescent="0.3">
      <c r="A38" s="6"/>
      <c r="B38" s="6" t="s">
        <v>366</v>
      </c>
      <c r="C38" s="14" t="s">
        <v>68</v>
      </c>
      <c r="D38" s="91">
        <v>326</v>
      </c>
      <c r="E38" s="14" t="s">
        <v>15</v>
      </c>
      <c r="F38" s="58"/>
      <c r="G38" s="22">
        <f t="shared" si="10"/>
        <v>0</v>
      </c>
      <c r="H38" s="24"/>
      <c r="I38" s="7">
        <f t="shared" si="11"/>
        <v>0</v>
      </c>
      <c r="J38" s="28">
        <v>0</v>
      </c>
      <c r="K38" s="8">
        <f t="shared" si="12"/>
        <v>0</v>
      </c>
      <c r="L38" s="28"/>
      <c r="M38" s="8">
        <f t="shared" si="13"/>
        <v>0</v>
      </c>
      <c r="N38" s="14" t="s">
        <v>138</v>
      </c>
      <c r="O38" s="11" t="s">
        <v>137</v>
      </c>
    </row>
    <row r="39" spans="1:15" ht="24.95" customHeight="1" x14ac:dyDescent="0.3">
      <c r="A39" s="6"/>
      <c r="B39" s="6" t="s">
        <v>367</v>
      </c>
      <c r="C39" s="14" t="s">
        <v>69</v>
      </c>
      <c r="D39" s="91">
        <v>317</v>
      </c>
      <c r="E39" s="14" t="s">
        <v>15</v>
      </c>
      <c r="F39" s="58"/>
      <c r="G39" s="22">
        <f t="shared" si="10"/>
        <v>0</v>
      </c>
      <c r="H39" s="24"/>
      <c r="I39" s="7">
        <f t="shared" si="11"/>
        <v>0</v>
      </c>
      <c r="J39" s="28">
        <v>0</v>
      </c>
      <c r="K39" s="8">
        <f t="shared" si="12"/>
        <v>0</v>
      </c>
      <c r="L39" s="28"/>
      <c r="M39" s="8">
        <f t="shared" si="13"/>
        <v>0</v>
      </c>
      <c r="N39" s="14" t="s">
        <v>140</v>
      </c>
      <c r="O39" s="11" t="s">
        <v>139</v>
      </c>
    </row>
    <row r="40" spans="1:15" ht="24.95" customHeight="1" x14ac:dyDescent="0.3">
      <c r="A40" s="6"/>
      <c r="B40" s="6" t="s">
        <v>368</v>
      </c>
      <c r="C40" s="14" t="s">
        <v>70</v>
      </c>
      <c r="D40" s="91">
        <v>83</v>
      </c>
      <c r="E40" s="14" t="s">
        <v>10</v>
      </c>
      <c r="F40" s="58"/>
      <c r="G40" s="22">
        <f t="shared" si="10"/>
        <v>0</v>
      </c>
      <c r="H40" s="24"/>
      <c r="I40" s="7">
        <f t="shared" si="11"/>
        <v>0</v>
      </c>
      <c r="J40" s="28">
        <v>0</v>
      </c>
      <c r="K40" s="8">
        <f t="shared" si="12"/>
        <v>0</v>
      </c>
      <c r="L40" s="28"/>
      <c r="M40" s="8">
        <f t="shared" si="13"/>
        <v>0</v>
      </c>
      <c r="N40" s="14" t="s">
        <v>142</v>
      </c>
      <c r="O40" s="11" t="s">
        <v>141</v>
      </c>
    </row>
    <row r="41" spans="1:15" ht="24.95" customHeight="1" x14ac:dyDescent="0.3">
      <c r="A41" s="6"/>
      <c r="B41" s="6" t="s">
        <v>369</v>
      </c>
      <c r="C41" s="14" t="s">
        <v>75</v>
      </c>
      <c r="D41" s="91">
        <v>19</v>
      </c>
      <c r="E41" s="14" t="s">
        <v>15</v>
      </c>
      <c r="F41" s="58"/>
      <c r="G41" s="22">
        <f t="shared" si="10"/>
        <v>0</v>
      </c>
      <c r="H41" s="24"/>
      <c r="I41" s="7">
        <f t="shared" si="11"/>
        <v>0</v>
      </c>
      <c r="J41" s="28">
        <v>0</v>
      </c>
      <c r="K41" s="8">
        <f t="shared" si="12"/>
        <v>0</v>
      </c>
      <c r="L41" s="28"/>
      <c r="M41" s="8">
        <f t="shared" si="13"/>
        <v>0</v>
      </c>
      <c r="N41" s="14" t="s">
        <v>144</v>
      </c>
      <c r="O41" s="11" t="s">
        <v>143</v>
      </c>
    </row>
    <row r="42" spans="1:15" ht="24.95" customHeight="1" x14ac:dyDescent="0.3">
      <c r="A42" s="6"/>
      <c r="B42" s="6" t="s">
        <v>370</v>
      </c>
      <c r="C42" s="14" t="s">
        <v>76</v>
      </c>
      <c r="D42" s="91">
        <v>7</v>
      </c>
      <c r="E42" s="14" t="s">
        <v>15</v>
      </c>
      <c r="F42" s="58"/>
      <c r="G42" s="22">
        <f t="shared" si="10"/>
        <v>0</v>
      </c>
      <c r="H42" s="24"/>
      <c r="I42" s="7">
        <f t="shared" si="11"/>
        <v>0</v>
      </c>
      <c r="J42" s="28">
        <v>0</v>
      </c>
      <c r="K42" s="8">
        <f t="shared" si="12"/>
        <v>0</v>
      </c>
      <c r="L42" s="28"/>
      <c r="M42" s="8">
        <f t="shared" si="13"/>
        <v>0</v>
      </c>
      <c r="N42" s="14" t="s">
        <v>146</v>
      </c>
      <c r="O42" s="11" t="s">
        <v>145</v>
      </c>
    </row>
    <row r="43" spans="1:15" ht="24.95" customHeight="1" x14ac:dyDescent="0.3">
      <c r="A43" s="6"/>
      <c r="B43" s="6" t="s">
        <v>71</v>
      </c>
      <c r="C43" s="14" t="s">
        <v>72</v>
      </c>
      <c r="D43" s="92">
        <v>154</v>
      </c>
      <c r="E43" s="14" t="s">
        <v>15</v>
      </c>
      <c r="F43" s="58"/>
      <c r="G43" s="22">
        <f t="shared" si="10"/>
        <v>0</v>
      </c>
      <c r="H43" s="24"/>
      <c r="I43" s="7">
        <f t="shared" si="11"/>
        <v>0</v>
      </c>
      <c r="J43" s="28">
        <v>0</v>
      </c>
      <c r="K43" s="8">
        <f t="shared" si="12"/>
        <v>0</v>
      </c>
      <c r="L43" s="28"/>
      <c r="M43" s="8">
        <f t="shared" si="13"/>
        <v>0</v>
      </c>
      <c r="N43" s="14" t="s">
        <v>148</v>
      </c>
      <c r="O43" s="11" t="s">
        <v>147</v>
      </c>
    </row>
    <row r="44" spans="1:15" ht="24.95" customHeight="1" x14ac:dyDescent="0.3">
      <c r="A44" s="6"/>
      <c r="B44" s="6" t="s">
        <v>73</v>
      </c>
      <c r="C44" s="14" t="s">
        <v>74</v>
      </c>
      <c r="D44" s="91">
        <v>95</v>
      </c>
      <c r="E44" s="14" t="s">
        <v>10</v>
      </c>
      <c r="F44" s="58"/>
      <c r="G44" s="22">
        <f t="shared" si="10"/>
        <v>0</v>
      </c>
      <c r="H44" s="24"/>
      <c r="I44" s="7">
        <f t="shared" si="11"/>
        <v>0</v>
      </c>
      <c r="J44" s="28">
        <v>0</v>
      </c>
      <c r="K44" s="8">
        <f t="shared" si="12"/>
        <v>0</v>
      </c>
      <c r="L44" s="28"/>
      <c r="M44" s="8">
        <f t="shared" si="13"/>
        <v>0</v>
      </c>
      <c r="N44" s="14" t="s">
        <v>150</v>
      </c>
      <c r="O44" s="11" t="s">
        <v>149</v>
      </c>
    </row>
    <row r="45" spans="1:15" ht="24.95" customHeight="1" x14ac:dyDescent="0.3">
      <c r="A45" s="6"/>
      <c r="B45" s="6" t="s">
        <v>65</v>
      </c>
      <c r="C45" s="14" t="s">
        <v>66</v>
      </c>
      <c r="D45" s="91">
        <v>1</v>
      </c>
      <c r="E45" s="14" t="s">
        <v>36</v>
      </c>
      <c r="F45" s="58"/>
      <c r="G45" s="22">
        <f t="shared" si="10"/>
        <v>0</v>
      </c>
      <c r="H45" s="24"/>
      <c r="I45" s="7">
        <f t="shared" si="11"/>
        <v>0</v>
      </c>
      <c r="J45" s="28">
        <v>0</v>
      </c>
      <c r="K45" s="8">
        <f t="shared" si="12"/>
        <v>0</v>
      </c>
      <c r="L45" s="28"/>
      <c r="M45" s="8">
        <f t="shared" si="13"/>
        <v>0</v>
      </c>
      <c r="N45" s="14" t="s">
        <v>152</v>
      </c>
      <c r="O45" s="11" t="s">
        <v>151</v>
      </c>
    </row>
    <row r="46" spans="1:15" ht="24.95" customHeight="1" x14ac:dyDescent="0.3">
      <c r="A46" s="6"/>
      <c r="B46" s="6" t="s">
        <v>154</v>
      </c>
      <c r="C46" s="14" t="s">
        <v>155</v>
      </c>
      <c r="D46" s="91">
        <v>0.54</v>
      </c>
      <c r="E46" s="14" t="s">
        <v>156</v>
      </c>
      <c r="F46" s="19"/>
      <c r="G46" s="22">
        <f t="shared" si="10"/>
        <v>0</v>
      </c>
      <c r="H46" s="25"/>
      <c r="I46" s="8">
        <f>ROUNDDOWN(H46*D46/100,0)</f>
        <v>0</v>
      </c>
      <c r="J46" s="28">
        <v>0</v>
      </c>
      <c r="K46" s="8">
        <f>ROUNDDOWN(J46*D46/100,0)</f>
        <v>0</v>
      </c>
      <c r="L46" s="28"/>
      <c r="M46" s="8">
        <f>ROUNDDOWN(L46*D46/100,0)</f>
        <v>0</v>
      </c>
      <c r="N46" s="14"/>
      <c r="O46" s="11" t="s">
        <v>153</v>
      </c>
    </row>
    <row r="47" spans="1:15" ht="24.95" customHeight="1" x14ac:dyDescent="0.3">
      <c r="A47" s="6" t="s">
        <v>371</v>
      </c>
      <c r="B47" s="6" t="s">
        <v>157</v>
      </c>
      <c r="C47" s="14"/>
      <c r="D47" s="15"/>
      <c r="E47" s="14"/>
      <c r="F47" s="18"/>
      <c r="G47" s="21"/>
      <c r="H47" s="7"/>
      <c r="I47" s="26"/>
      <c r="J47" s="8"/>
      <c r="K47" s="26"/>
      <c r="L47" s="8"/>
      <c r="M47" s="26"/>
      <c r="N47" s="14"/>
      <c r="O47" s="11" t="e">
        <f>"_x0007_`COD|E3_x0005_`QTY1|1_x0005_`EXI|0_x0005_`ITT|0_x0005_`END|"&amp;ROW(#REF!)&amp;"_x0005_`"</f>
        <v>#REF!</v>
      </c>
    </row>
    <row r="48" spans="1:15" ht="24.95" customHeight="1" x14ac:dyDescent="0.3">
      <c r="A48" s="6"/>
      <c r="B48" s="6" t="s">
        <v>77</v>
      </c>
      <c r="C48" s="14" t="s">
        <v>72</v>
      </c>
      <c r="D48" s="91">
        <v>1</v>
      </c>
      <c r="E48" s="14" t="s">
        <v>19</v>
      </c>
      <c r="F48" s="58"/>
      <c r="G48" s="22">
        <f>I48+K48+M48</f>
        <v>0</v>
      </c>
      <c r="H48" s="24"/>
      <c r="I48" s="7">
        <f>ROUNDDOWN(H48*D48,0)</f>
        <v>0</v>
      </c>
      <c r="J48" s="28">
        <v>0</v>
      </c>
      <c r="K48" s="8">
        <f>ROUNDDOWN(J48*D48,0)</f>
        <v>0</v>
      </c>
      <c r="L48" s="28"/>
      <c r="M48" s="8">
        <f>ROUNDDOWN(L48*D48,0)</f>
        <v>0</v>
      </c>
      <c r="N48" s="14" t="s">
        <v>159</v>
      </c>
      <c r="O48" s="11" t="s">
        <v>158</v>
      </c>
    </row>
    <row r="49" spans="1:15" ht="24.95" customHeight="1" x14ac:dyDescent="0.3">
      <c r="A49" s="6"/>
      <c r="B49" s="6" t="s">
        <v>154</v>
      </c>
      <c r="C49" s="14" t="s">
        <v>155</v>
      </c>
      <c r="D49" s="91">
        <v>0.54</v>
      </c>
      <c r="E49" s="14" t="s">
        <v>156</v>
      </c>
      <c r="F49" s="19"/>
      <c r="G49" s="22">
        <f>I49+K49+M49</f>
        <v>0</v>
      </c>
      <c r="H49" s="25"/>
      <c r="I49" s="8">
        <f>ROUNDDOWN(H49*D49/100,0)</f>
        <v>0</v>
      </c>
      <c r="J49" s="28">
        <v>0</v>
      </c>
      <c r="K49" s="8">
        <f>ROUNDDOWN(J49*D49/100,0)</f>
        <v>0</v>
      </c>
      <c r="L49" s="28"/>
      <c r="M49" s="8">
        <f>ROUNDDOWN(L49*D49/100,0)</f>
        <v>0</v>
      </c>
      <c r="N49" s="14"/>
      <c r="O49" s="11" t="s">
        <v>160</v>
      </c>
    </row>
    <row r="50" spans="1:15" hidden="1" x14ac:dyDescent="0.3">
      <c r="B50" s="4"/>
      <c r="G50" s="23"/>
      <c r="I50" s="23"/>
      <c r="K50" s="23"/>
      <c r="M50" s="23"/>
    </row>
  </sheetData>
  <mergeCells count="12">
    <mergeCell ref="N3:N4"/>
    <mergeCell ref="B5:C5"/>
    <mergeCell ref="A1:N1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honeticPr fontId="10" type="noConversion"/>
  <conditionalFormatting sqref="D5:D50 F5:N50">
    <cfRule type="expression" dxfId="0" priority="1" stopIfTrue="1">
      <formula>AND(D5&lt;&gt;0,INT(D5)=D5)</formula>
    </cfRule>
  </conditionalFormatting>
  <hyperlinks>
    <hyperlink ref="O1" r:id="rId1" tooltip="설계예산시스템(STmate w25.06)으로 작성 하였으며,_x000a_엑셀 인쇄품질 600 dpi에 최적화 되어 있습니다._x000a_경영정보(주) http://www.stma.co.kr_x000a_Tel) 070-4350-0040_x000a_Fax) 0505-300-3948"/>
  </hyperlinks>
  <printOptions horizontalCentered="1"/>
  <pageMargins left="0.78740157480314965" right="0.78740157480314965" top="0.59055118110236215" bottom="0.59055118110236215" header="0" footer="0.39370078740157477"/>
  <pageSetup paperSize="9" scale="69" fitToWidth="0" fitToHeight="0" orientation="landscape" r:id="rId2"/>
  <headerFooter alignWithMargins="0">
    <oddFooter xml:space="preserve">&amp;C&amp;"굴림체,"&amp;9 - &amp;P -&amp;R&amp;"굴림체,"&amp;9 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X80"/>
  <sheetViews>
    <sheetView workbookViewId="0"/>
  </sheetViews>
  <sheetFormatPr defaultColWidth="9.125" defaultRowHeight="16.5" x14ac:dyDescent="0.3"/>
  <cols>
    <col min="1" max="1" width="9.125" style="48" customWidth="1"/>
    <col min="2" max="2" width="16.75" style="48" customWidth="1"/>
    <col min="3" max="3" width="15.25" style="48" customWidth="1"/>
    <col min="4" max="24" width="2.5" style="48" customWidth="1"/>
    <col min="25" max="16384" width="9.125" style="48"/>
  </cols>
  <sheetData>
    <row r="2" spans="2:24" ht="19.5" x14ac:dyDescent="0.3">
      <c r="B2" s="82" t="s">
        <v>245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4" spans="2:24" hidden="1" x14ac:dyDescent="0.3">
      <c r="B4" s="49" t="s">
        <v>246</v>
      </c>
      <c r="C4" s="52" t="b">
        <f ca="1">ISERROR(SUM(C6:X15,C18:X23))</f>
        <v>1</v>
      </c>
      <c r="D4" s="55">
        <f>ROW(C24)</f>
        <v>24</v>
      </c>
    </row>
    <row r="5" spans="2:24" hidden="1" x14ac:dyDescent="0.3">
      <c r="B5" s="50" t="s">
        <v>247</v>
      </c>
      <c r="C5" s="50" t="s">
        <v>248</v>
      </c>
      <c r="D5" s="50" t="s">
        <v>249</v>
      </c>
      <c r="E5" s="50" t="s">
        <v>250</v>
      </c>
      <c r="F5" s="50" t="s">
        <v>251</v>
      </c>
      <c r="G5" s="50" t="s">
        <v>252</v>
      </c>
      <c r="H5" s="50" t="s">
        <v>244</v>
      </c>
      <c r="I5" s="50" t="s">
        <v>253</v>
      </c>
      <c r="J5" s="50" t="s">
        <v>254</v>
      </c>
      <c r="K5" s="50" t="s">
        <v>255</v>
      </c>
      <c r="L5" s="50" t="s">
        <v>256</v>
      </c>
      <c r="M5" s="50" t="s">
        <v>257</v>
      </c>
      <c r="N5" s="50" t="s">
        <v>258</v>
      </c>
      <c r="O5" s="50" t="s">
        <v>259</v>
      </c>
      <c r="P5" s="50" t="s">
        <v>260</v>
      </c>
      <c r="Q5" s="50" t="s">
        <v>261</v>
      </c>
      <c r="R5" s="50" t="s">
        <v>262</v>
      </c>
      <c r="S5" s="50" t="s">
        <v>263</v>
      </c>
      <c r="T5" s="50" t="s">
        <v>264</v>
      </c>
      <c r="U5" s="50" t="s">
        <v>265</v>
      </c>
      <c r="V5" s="50" t="s">
        <v>266</v>
      </c>
      <c r="W5" s="50" t="s">
        <v>267</v>
      </c>
      <c r="X5" s="50" t="s">
        <v>268</v>
      </c>
    </row>
    <row r="6" spans="2:24" hidden="1" x14ac:dyDescent="0.3">
      <c r="B6" s="51" t="s">
        <v>269</v>
      </c>
      <c r="C6" s="53" t="e">
        <f ca="1">IF(D6="","재료비목록표",MID(D6,FIND("]",D6)+1,LEN(D6)))</f>
        <v>#REF!</v>
      </c>
      <c r="D6" s="53" t="e">
        <f ca="1">CELL("filename",#REF!)</f>
        <v>#REF!</v>
      </c>
      <c r="E6" s="56"/>
      <c r="F6" s="57" t="e">
        <f ca="1">HYPERLINK("#"&amp;C6&amp;"!"&amp;ADDRESS(3,COLUMN(#REF!),1),COLUMN(#REF!))</f>
        <v>#REF!</v>
      </c>
      <c r="G6" s="57" t="e">
        <f ca="1">HYPERLINK("#"&amp;C6&amp;"!"&amp;ADDRESS(3,COLUMN(#REF!),1),COLUMN(#REF!))</f>
        <v>#REF!</v>
      </c>
      <c r="H6" s="56"/>
      <c r="I6" s="57" t="e">
        <f ca="1">HYPERLINK("#"&amp;C6&amp;"!"&amp;ADDRESS(3,COLUMN(#REF!),1),COLUMN(#REF!))</f>
        <v>#REF!</v>
      </c>
      <c r="J6" s="57" t="e">
        <f ca="1">HYPERLINK("#"&amp;C6&amp;"!A"&amp;ROW(#REF!),ROW(#REF!))</f>
        <v>#REF!</v>
      </c>
      <c r="K6" s="57" t="e">
        <f ca="1">HYPERLINK("#"&amp;C6&amp;"!A"&amp;ROW(#REF!),ROW(#REF!))</f>
        <v>#REF!</v>
      </c>
      <c r="L6" s="57" t="e">
        <f ca="1">HYPERLINK("#"&amp;C6&amp;"!"&amp;ADDRESS(3,COLUMN(#REF!),1),COLUMN(#REF!))</f>
        <v>#REF!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7" t="e">
        <f ca="1">HYPERLINK("#"&amp;C6&amp;"!"&amp;ADDRESS(3,COLUMN(#REF!),1),COLUMN(#REF!))</f>
        <v>#REF!</v>
      </c>
    </row>
    <row r="7" spans="2:24" hidden="1" x14ac:dyDescent="0.3">
      <c r="B7" s="51" t="s">
        <v>270</v>
      </c>
      <c r="C7" s="53" t="e">
        <f ca="1">IF(D7="","노무비목록표",MID(D7,FIND("]",D7)+1,LEN(D7)))</f>
        <v>#REF!</v>
      </c>
      <c r="D7" s="53" t="e">
        <f ca="1">CELL("filename",#REF!)</f>
        <v>#REF!</v>
      </c>
      <c r="E7" s="56"/>
      <c r="F7" s="57" t="e">
        <f ca="1">HYPERLINK("#"&amp;C7&amp;"!"&amp;ADDRESS(3,COLUMN(#REF!),1),COLUMN(#REF!))</f>
        <v>#REF!</v>
      </c>
      <c r="G7" s="57" t="e">
        <f ca="1">HYPERLINK("#"&amp;C7&amp;"!"&amp;ADDRESS(3,COLUMN(#REF!),1),COLUMN(#REF!))</f>
        <v>#REF!</v>
      </c>
      <c r="H7" s="56"/>
      <c r="I7" s="57" t="e">
        <f ca="1">HYPERLINK("#"&amp;C7&amp;"!"&amp;ADDRESS(3,COLUMN(#REF!),1),COLUMN(#REF!))</f>
        <v>#REF!</v>
      </c>
      <c r="J7" s="57" t="e">
        <f ca="1">HYPERLINK("#"&amp;C7&amp;"!A"&amp;ROW(#REF!),ROW(#REF!))</f>
        <v>#REF!</v>
      </c>
      <c r="K7" s="57" t="e">
        <f ca="1">HYPERLINK("#"&amp;C7&amp;"!A"&amp;ROW(#REF!),ROW(#REF!))</f>
        <v>#REF!</v>
      </c>
      <c r="L7" s="57" t="e">
        <f ca="1">HYPERLINK("#"&amp;C7&amp;"!"&amp;ADDRESS(3,COLUMN(#REF!),1),COLUMN(#REF!))</f>
        <v>#REF!</v>
      </c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 t="e">
        <f ca="1">HYPERLINK("#"&amp;C7&amp;"!"&amp;ADDRESS(3,COLUMN(#REF!),1),COLUMN(#REF!))</f>
        <v>#REF!</v>
      </c>
    </row>
    <row r="8" spans="2:24" hidden="1" x14ac:dyDescent="0.3">
      <c r="B8" s="51" t="s">
        <v>271</v>
      </c>
      <c r="C8" s="53" t="e">
        <f ca="1">IF(D8="","경비목록표",MID(D8,FIND("]",D8)+1,LEN(D8)))</f>
        <v>#REF!</v>
      </c>
      <c r="D8" s="53" t="e">
        <f ca="1">CELL("filename",#REF!)</f>
        <v>#REF!</v>
      </c>
      <c r="E8" s="56"/>
      <c r="F8" s="57" t="e">
        <f ca="1">HYPERLINK("#"&amp;C8&amp;"!"&amp;ADDRESS(3,COLUMN(#REF!),1),COLUMN(#REF!))</f>
        <v>#REF!</v>
      </c>
      <c r="G8" s="57" t="e">
        <f ca="1">HYPERLINK("#"&amp;C8&amp;"!"&amp;ADDRESS(3,COLUMN(#REF!),1),COLUMN(#REF!))</f>
        <v>#REF!</v>
      </c>
      <c r="H8" s="56"/>
      <c r="I8" s="57" t="e">
        <f ca="1">HYPERLINK("#"&amp;C8&amp;"!"&amp;ADDRESS(3,COLUMN(#REF!),1),COLUMN(#REF!))</f>
        <v>#REF!</v>
      </c>
      <c r="J8" s="57" t="e">
        <f ca="1">HYPERLINK("#"&amp;C8&amp;"!A"&amp;ROW(#REF!),ROW(#REF!))</f>
        <v>#REF!</v>
      </c>
      <c r="K8" s="57" t="e">
        <f ca="1">HYPERLINK("#"&amp;C8&amp;"!A"&amp;ROW(#REF!),ROW(#REF!))</f>
        <v>#REF!</v>
      </c>
      <c r="L8" s="57" t="e">
        <f ca="1">HYPERLINK("#"&amp;C8&amp;"!"&amp;ADDRESS(3,COLUMN(#REF!),1),COLUMN(#REF!))</f>
        <v>#REF!</v>
      </c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7" t="e">
        <f ca="1">HYPERLINK("#"&amp;C8&amp;"!"&amp;ADDRESS(3,COLUMN(#REF!),1),COLUMN(#REF!))</f>
        <v>#REF!</v>
      </c>
    </row>
    <row r="9" spans="2:24" hidden="1" x14ac:dyDescent="0.3">
      <c r="B9" s="51" t="s">
        <v>272</v>
      </c>
      <c r="C9" s="51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2:24" hidden="1" x14ac:dyDescent="0.3">
      <c r="B10" s="51" t="s">
        <v>273</v>
      </c>
      <c r="C10" s="53" t="e">
        <f ca="1">IF(D10="","환율및기초자료",MID(D10,FIND("]",D10)+1,LEN(D10)))</f>
        <v>#REF!</v>
      </c>
      <c r="D10" s="53" t="e">
        <f ca="1">CELL("filename",#REF!)</f>
        <v>#REF!</v>
      </c>
      <c r="E10" s="57" t="e">
        <f ca="1">HYPERLINK("#"&amp;C10&amp;"!"&amp;ADDRESS(5,COLUMN(#REF!),1),COLUMN(#REF!))</f>
        <v>#REF!</v>
      </c>
      <c r="F10" s="57" t="e">
        <f ca="1">HYPERLINK("#"&amp;C10&amp;"!"&amp;ADDRESS(5,COLUMN(#REF!),1),COLUMN(#REF!))</f>
        <v>#REF!</v>
      </c>
      <c r="G10" s="57" t="e">
        <f ca="1">HYPERLINK("#"&amp;C10&amp;"!"&amp;ADDRESS(5,COLUMN(#REF!),1),COLUMN(#REF!))</f>
        <v>#REF!</v>
      </c>
      <c r="H10" s="56"/>
      <c r="I10" s="57" t="e">
        <f ca="1">HYPERLINK("#"&amp;C10&amp;"!"&amp;ADDRESS(5,COLUMN(#REF!),1),COLUMN(#REF!))</f>
        <v>#REF!</v>
      </c>
      <c r="J10" s="57" t="e">
        <f ca="1">HYPERLINK("#"&amp;C10&amp;"!A"&amp;ROW(#REF!),ROW(#REF!))</f>
        <v>#REF!</v>
      </c>
      <c r="K10" s="57" t="e">
        <f ca="1">HYPERLINK("#"&amp;C10&amp;"!A"&amp;ROW(#REF!),ROW(#REF!))</f>
        <v>#REF!</v>
      </c>
      <c r="L10" s="57" t="e">
        <f ca="1">HYPERLINK("#"&amp;C10&amp;"!"&amp;ADDRESS(5,COLUMN(#REF!),1),COLUMN(#REF!))</f>
        <v>#REF!</v>
      </c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7" t="e">
        <f ca="1">HYPERLINK("#"&amp;C10&amp;"!"&amp;ADDRESS(5,COLUMN(#REF!),1),COLUMN(#REF!))</f>
        <v>#REF!</v>
      </c>
    </row>
    <row r="11" spans="2:24" hidden="1" x14ac:dyDescent="0.3">
      <c r="B11" s="51" t="s">
        <v>274</v>
      </c>
      <c r="C11" s="53" t="e">
        <f ca="1">IF(D11="","중기목록표",MID(D11,FIND("]",D11)+1,LEN(D11)))</f>
        <v>#REF!</v>
      </c>
      <c r="D11" s="53" t="e">
        <f ca="1">CELL("filename",#REF!)</f>
        <v>#REF!</v>
      </c>
      <c r="E11" s="56"/>
      <c r="F11" s="57" t="e">
        <f ca="1">HYPERLINK("#"&amp;C11&amp;"!"&amp;ADDRESS(3,COLUMN(#REF!),1),COLUMN(#REF!))</f>
        <v>#REF!</v>
      </c>
      <c r="G11" s="57" t="e">
        <f ca="1">HYPERLINK("#"&amp;C11&amp;"!"&amp;ADDRESS(3,COLUMN(#REF!),1),COLUMN(#REF!))</f>
        <v>#REF!</v>
      </c>
      <c r="H11" s="56"/>
      <c r="I11" s="57" t="e">
        <f ca="1">HYPERLINK("#"&amp;C11&amp;"!"&amp;ADDRESS(3,COLUMN(#REF!),1),COLUMN(#REF!))</f>
        <v>#REF!</v>
      </c>
      <c r="J11" s="57" t="e">
        <f ca="1">HYPERLINK("#"&amp;C11&amp;"!A"&amp;ROW(#REF!),ROW(#REF!))</f>
        <v>#REF!</v>
      </c>
      <c r="K11" s="57" t="e">
        <f ca="1">HYPERLINK("#"&amp;C11&amp;"!A"&amp;ROW(#REF!),ROW(#REF!))</f>
        <v>#REF!</v>
      </c>
      <c r="L11" s="57" t="e">
        <f ca="1">HYPERLINK("#"&amp;C11&amp;"!"&amp;ADDRESS(3,COLUMN(#REF!),1),COLUMN(#REF!))</f>
        <v>#REF!</v>
      </c>
      <c r="M11" s="56"/>
      <c r="N11" s="57" t="e">
        <f ca="1">HYPERLINK("#"&amp;C11&amp;"!"&amp;ADDRESS(3,COLUMN(#REF!),1),COLUMN(#REF!))</f>
        <v>#REF!</v>
      </c>
      <c r="O11" s="56"/>
      <c r="P11" s="57" t="e">
        <f ca="1">HYPERLINK("#"&amp;C11&amp;"!"&amp;ADDRESS(3,COLUMN(#REF!),1),COLUMN(#REF!))</f>
        <v>#REF!</v>
      </c>
      <c r="Q11" s="56"/>
      <c r="R11" s="57" t="e">
        <f ca="1">HYPERLINK("#"&amp;C11&amp;"!"&amp;ADDRESS(3,COLUMN(#REF!),1),COLUMN(#REF!))</f>
        <v>#REF!</v>
      </c>
      <c r="S11" s="56"/>
      <c r="T11" s="56"/>
      <c r="U11" s="56"/>
      <c r="V11" s="56"/>
      <c r="W11" s="56"/>
      <c r="X11" s="57" t="e">
        <f ca="1">HYPERLINK("#"&amp;C11&amp;"!"&amp;ADDRESS(3,COLUMN(#REF!),1),COLUMN(#REF!))</f>
        <v>#REF!</v>
      </c>
    </row>
    <row r="12" spans="2:24" hidden="1" x14ac:dyDescent="0.3">
      <c r="B12" s="51" t="s">
        <v>275</v>
      </c>
      <c r="C12" s="51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2:24" hidden="1" x14ac:dyDescent="0.3">
      <c r="B13" s="51" t="s">
        <v>276</v>
      </c>
      <c r="C13" s="53" t="e">
        <f ca="1">IF(D13="","일위대가목록표",MID(D13,FIND("]",D13)+1,LEN(D13)))</f>
        <v>#REF!</v>
      </c>
      <c r="D13" s="53" t="e">
        <f ca="1">CELL("filename",#REF!)</f>
        <v>#REF!</v>
      </c>
      <c r="E13" s="56"/>
      <c r="F13" s="57" t="e">
        <f ca="1">HYPERLINK("#"&amp;C13&amp;"!"&amp;ADDRESS(3,COLUMN(#REF!),1),COLUMN(#REF!))</f>
        <v>#REF!</v>
      </c>
      <c r="G13" s="57" t="e">
        <f ca="1">HYPERLINK("#"&amp;C13&amp;"!"&amp;ADDRESS(3,COLUMN(#REF!),1),COLUMN(#REF!))</f>
        <v>#REF!</v>
      </c>
      <c r="H13" s="56"/>
      <c r="I13" s="57" t="e">
        <f ca="1">HYPERLINK("#"&amp;C13&amp;"!"&amp;ADDRESS(3,COLUMN(#REF!),1),COLUMN(#REF!))</f>
        <v>#REF!</v>
      </c>
      <c r="J13" s="57" t="e">
        <f ca="1">HYPERLINK("#"&amp;C13&amp;"!A"&amp;ROW(#REF!),ROW(#REF!))</f>
        <v>#REF!</v>
      </c>
      <c r="K13" s="57" t="e">
        <f ca="1">HYPERLINK("#"&amp;C13&amp;"!A"&amp;ROW(#REF!),ROW(#REF!))</f>
        <v>#REF!</v>
      </c>
      <c r="L13" s="57" t="e">
        <f ca="1">HYPERLINK("#"&amp;C13&amp;"!"&amp;ADDRESS(3,COLUMN(#REF!),1),COLUMN(#REF!))</f>
        <v>#REF!</v>
      </c>
      <c r="M13" s="56"/>
      <c r="N13" s="57" t="e">
        <f ca="1">HYPERLINK("#"&amp;C13&amp;"!"&amp;ADDRESS(3,COLUMN(#REF!),1),COLUMN(#REF!))</f>
        <v>#REF!</v>
      </c>
      <c r="O13" s="56"/>
      <c r="P13" s="57" t="e">
        <f ca="1">HYPERLINK("#"&amp;C13&amp;"!"&amp;ADDRESS(3,COLUMN(#REF!),1),COLUMN(#REF!))</f>
        <v>#REF!</v>
      </c>
      <c r="Q13" s="56"/>
      <c r="R13" s="57" t="e">
        <f ca="1">HYPERLINK("#"&amp;C13&amp;"!"&amp;ADDRESS(3,COLUMN(#REF!),1),COLUMN(#REF!))</f>
        <v>#REF!</v>
      </c>
      <c r="S13" s="56"/>
      <c r="T13" s="56"/>
      <c r="U13" s="56"/>
      <c r="V13" s="56"/>
      <c r="W13" s="56"/>
      <c r="X13" s="57" t="e">
        <f ca="1">HYPERLINK("#"&amp;C13&amp;"!"&amp;ADDRESS(3,COLUMN(#REF!),1),COLUMN(#REF!))</f>
        <v>#REF!</v>
      </c>
    </row>
    <row r="14" spans="2:24" hidden="1" x14ac:dyDescent="0.3">
      <c r="B14" s="51" t="s">
        <v>277</v>
      </c>
      <c r="C14" s="53" t="e">
        <f ca="1">IF(D14="","단가산출근거목록표",MID(D14,FIND("]",D14)+1,LEN(D14)))</f>
        <v>#REF!</v>
      </c>
      <c r="D14" s="53" t="e">
        <f ca="1">CELL("filename",#REF!)</f>
        <v>#REF!</v>
      </c>
      <c r="E14" s="56"/>
      <c r="F14" s="57" t="e">
        <f ca="1">HYPERLINK("#"&amp;C14&amp;"!"&amp;ADDRESS(3,COLUMN(#REF!),1),COLUMN(#REF!))</f>
        <v>#REF!</v>
      </c>
      <c r="G14" s="57" t="e">
        <f ca="1">HYPERLINK("#"&amp;C14&amp;"!"&amp;ADDRESS(3,COLUMN(#REF!),1),COLUMN(#REF!))</f>
        <v>#REF!</v>
      </c>
      <c r="H14" s="56"/>
      <c r="I14" s="57" t="e">
        <f ca="1">HYPERLINK("#"&amp;C14&amp;"!"&amp;ADDRESS(3,COLUMN(#REF!),1),COLUMN(#REF!))</f>
        <v>#REF!</v>
      </c>
      <c r="J14" s="57" t="e">
        <f ca="1">HYPERLINK("#"&amp;C14&amp;"!A"&amp;ROW(#REF!),ROW(#REF!))</f>
        <v>#REF!</v>
      </c>
      <c r="K14" s="57" t="e">
        <f ca="1">HYPERLINK("#"&amp;C14&amp;"!A"&amp;ROW(#REF!),ROW(#REF!))</f>
        <v>#REF!</v>
      </c>
      <c r="L14" s="57" t="e">
        <f ca="1">HYPERLINK("#"&amp;C14&amp;"!"&amp;ADDRESS(3,COLUMN(#REF!),1),COLUMN(#REF!))</f>
        <v>#REF!</v>
      </c>
      <c r="M14" s="56"/>
      <c r="N14" s="57" t="e">
        <f ca="1">HYPERLINK("#"&amp;C14&amp;"!"&amp;ADDRESS(3,COLUMN(#REF!),1),COLUMN(#REF!))</f>
        <v>#REF!</v>
      </c>
      <c r="O14" s="56"/>
      <c r="P14" s="57" t="e">
        <f ca="1">HYPERLINK("#"&amp;C14&amp;"!"&amp;ADDRESS(3,COLUMN(#REF!),1),COLUMN(#REF!))</f>
        <v>#REF!</v>
      </c>
      <c r="Q14" s="56"/>
      <c r="R14" s="57" t="e">
        <f ca="1">HYPERLINK("#"&amp;C14&amp;"!"&amp;ADDRESS(3,COLUMN(#REF!),1),COLUMN(#REF!))</f>
        <v>#REF!</v>
      </c>
      <c r="S14" s="56"/>
      <c r="T14" s="56"/>
      <c r="U14" s="56"/>
      <c r="V14" s="56"/>
      <c r="W14" s="56"/>
      <c r="X14" s="57" t="e">
        <f ca="1">HYPERLINK("#"&amp;C14&amp;"!"&amp;ADDRESS(3,COLUMN(#REF!),1),COLUMN(#REF!))</f>
        <v>#REF!</v>
      </c>
    </row>
    <row r="15" spans="2:24" hidden="1" x14ac:dyDescent="0.3">
      <c r="B15" s="51" t="s">
        <v>278</v>
      </c>
      <c r="C15" s="53" t="e">
        <f ca="1">IF(D15="","자재단가대비표",MID(D15,FIND("]",D15)+1,LEN(D15)))</f>
        <v>#REF!</v>
      </c>
      <c r="D15" s="53" t="e">
        <f ca="1">CELL("filename",#REF!)</f>
        <v>#REF!</v>
      </c>
      <c r="E15" s="56"/>
      <c r="F15" s="57" t="e">
        <f ca="1">HYPERLINK("#"&amp;C15&amp;"!"&amp;ADDRESS(4,COLUMN(#REF!),1),COLUMN(#REF!))</f>
        <v>#REF!</v>
      </c>
      <c r="G15" s="57" t="e">
        <f ca="1">HYPERLINK("#"&amp;C15&amp;"!"&amp;ADDRESS(4,COLUMN(#REF!),1),COLUMN(#REF!))</f>
        <v>#REF!</v>
      </c>
      <c r="H15" s="56"/>
      <c r="I15" s="57" t="e">
        <f ca="1">HYPERLINK("#"&amp;C15&amp;"!"&amp;ADDRESS(4,COLUMN(#REF!),1),COLUMN(#REF!))</f>
        <v>#REF!</v>
      </c>
      <c r="J15" s="57" t="e">
        <f ca="1">HYPERLINK("#"&amp;C15&amp;"!A"&amp;ROW(#REF!),ROW(#REF!))</f>
        <v>#REF!</v>
      </c>
      <c r="K15" s="57" t="e">
        <f ca="1">HYPERLINK("#"&amp;C15&amp;"!A"&amp;ROW(#REF!),ROW(#REF!))</f>
        <v>#REF!</v>
      </c>
      <c r="L15" s="57" t="e">
        <f ca="1">HYPERLINK("#"&amp;C15&amp;"!"&amp;ADDRESS(4,COLUMN(#REF!),1),COLUMN(#REF!))</f>
        <v>#REF!</v>
      </c>
      <c r="M15" s="57" t="e">
        <f ca="1">HYPERLINK("#"&amp;C15&amp;"!"&amp;ADDRESS(4,COLUMN(#REF!),1),COLUMN(#REF!))</f>
        <v>#REF!</v>
      </c>
      <c r="N15" s="57" t="e">
        <f ca="1">HYPERLINK("#"&amp;C15&amp;"!"&amp;ADDRESS(4,COLUMN(#REF!),1),COLUMN(#REF!))</f>
        <v>#REF!</v>
      </c>
      <c r="O15" s="57" t="e">
        <f ca="1">HYPERLINK("#"&amp;C15&amp;"!"&amp;ADDRESS(4,COLUMN(#REF!),1),COLUMN(#REF!))</f>
        <v>#REF!</v>
      </c>
      <c r="P15" s="57" t="e">
        <f ca="1">HYPERLINK("#"&amp;C15&amp;"!"&amp;ADDRESS(4,COLUMN(#REF!),1),COLUMN(#REF!))</f>
        <v>#REF!</v>
      </c>
      <c r="Q15" s="57" t="e">
        <f ca="1">HYPERLINK("#"&amp;C15&amp;"!"&amp;ADDRESS(4,COLUMN(#REF!),1),COLUMN(#REF!))</f>
        <v>#REF!</v>
      </c>
      <c r="R15" s="57" t="e">
        <f ca="1">HYPERLINK("#"&amp;C15&amp;"!"&amp;ADDRESS(4,COLUMN(#REF!),1),COLUMN(#REF!))</f>
        <v>#REF!</v>
      </c>
      <c r="S15" s="57" t="e">
        <f ca="1">HYPERLINK("#"&amp;C15&amp;"!"&amp;ADDRESS(4,COLUMN(#REF!),1),COLUMN(#REF!))</f>
        <v>#REF!</v>
      </c>
      <c r="T15" s="57" t="e">
        <f ca="1">HYPERLINK("#"&amp;C15&amp;"!"&amp;ADDRESS(4,COLUMN(#REF!),1),COLUMN(#REF!))</f>
        <v>#REF!</v>
      </c>
      <c r="U15" s="57" t="e">
        <f ca="1">HYPERLINK("#"&amp;C15&amp;"!"&amp;ADDRESS(4,COLUMN(#REF!),1),COLUMN(#REF!))</f>
        <v>#REF!</v>
      </c>
      <c r="V15" s="57" t="e">
        <f ca="1">HYPERLINK("#"&amp;C15&amp;"!"&amp;ADDRESS(4,COLUMN(#REF!),1),COLUMN(#REF!))</f>
        <v>#REF!</v>
      </c>
      <c r="W15" s="57" t="e">
        <f ca="1">HYPERLINK("#"&amp;C15&amp;"!"&amp;ADDRESS(4,COLUMN(#REF!),1),COLUMN(#REF!))</f>
        <v>#REF!</v>
      </c>
      <c r="X15" s="57" t="e">
        <f ca="1">HYPERLINK("#"&amp;C15&amp;"!"&amp;ADDRESS(4,COLUMN(#REF!),1),COLUMN(#REF!))</f>
        <v>#REF!</v>
      </c>
    </row>
    <row r="16" spans="2:24" hidden="1" x14ac:dyDescent="0.3">
      <c r="B16" s="51" t="s">
        <v>279</v>
      </c>
      <c r="C16" s="53" t="str">
        <f ca="1">IF(D16="","설계내역서",MID(D16,FIND("]",D16)+1,LEN(D16)))</f>
        <v>설계내역서</v>
      </c>
      <c r="D16" s="53" t="str">
        <f ca="1">CELL("filename",설계내역서!A1)</f>
        <v>C:\Users\user\Downloads\[공내역서(원가계산서).xlsx]설계내역서</v>
      </c>
      <c r="E16" s="57">
        <f ca="1">HYPERLINK("#"&amp;C16&amp;"!"&amp;ADDRESS(4,COLUMN(설계내역서!A1),1),COLUMN(설계내역서!A1))</f>
        <v>1</v>
      </c>
      <c r="F16" s="57">
        <f ca="1">HYPERLINK("#"&amp;C16&amp;"!"&amp;ADDRESS(4,COLUMN(설계내역서!B1),1),COLUMN(설계내역서!B1))</f>
        <v>2</v>
      </c>
      <c r="G16" s="57">
        <f ca="1">HYPERLINK("#"&amp;C16&amp;"!"&amp;ADDRESS(4,COLUMN(설계내역서!C1),1),COLUMN(설계내역서!C1))</f>
        <v>3</v>
      </c>
      <c r="H16" s="57">
        <f ca="1">HYPERLINK("#"&amp;C16&amp;"!"&amp;ADDRESS(4,COLUMN(설계내역서!D1),1),COLUMN(설계내역서!D1))</f>
        <v>4</v>
      </c>
      <c r="I16" s="57">
        <f ca="1">HYPERLINK("#"&amp;C16&amp;"!"&amp;ADDRESS(4,COLUMN(설계내역서!E1),1),COLUMN(설계내역서!E1))</f>
        <v>5</v>
      </c>
      <c r="J16" s="57">
        <f ca="1">HYPERLINK("#"&amp;C16&amp;"!A"&amp;ROW(설계내역서!A5),ROW(설계내역서!A5))</f>
        <v>5</v>
      </c>
      <c r="K16" s="57">
        <f ca="1">HYPERLINK("#"&amp;C16&amp;"!A"&amp;ROW(설계내역서!A50),ROW(설계내역서!A50))</f>
        <v>50</v>
      </c>
      <c r="L16" s="57">
        <f ca="1">HYPERLINK("#"&amp;C16&amp;"!"&amp;ADDRESS(4,COLUMN(설계내역서!F1),1),COLUMN(설계내역서!F1))</f>
        <v>6</v>
      </c>
      <c r="M16" s="57">
        <f ca="1">HYPERLINK("#"&amp;C16&amp;"!"&amp;ADDRESS(4,COLUMN(설계내역서!G1),1),COLUMN(설계내역서!G1))</f>
        <v>7</v>
      </c>
      <c r="N16" s="57">
        <f ca="1">HYPERLINK("#"&amp;C16&amp;"!"&amp;ADDRESS(4,COLUMN(설계내역서!H1),1),COLUMN(설계내역서!H1))</f>
        <v>8</v>
      </c>
      <c r="O16" s="57">
        <f ca="1">HYPERLINK("#"&amp;C16&amp;"!"&amp;ADDRESS(4,COLUMN(설계내역서!I1),1),COLUMN(설계내역서!I1))</f>
        <v>9</v>
      </c>
      <c r="P16" s="57">
        <f ca="1">HYPERLINK("#"&amp;C16&amp;"!"&amp;ADDRESS(4,COLUMN(설계내역서!J1),1),COLUMN(설계내역서!J1))</f>
        <v>10</v>
      </c>
      <c r="Q16" s="57">
        <f ca="1">HYPERLINK("#"&amp;C16&amp;"!"&amp;ADDRESS(4,COLUMN(설계내역서!K1),1),COLUMN(설계내역서!K1))</f>
        <v>11</v>
      </c>
      <c r="R16" s="57">
        <f ca="1">HYPERLINK("#"&amp;C16&amp;"!"&amp;ADDRESS(4,COLUMN(설계내역서!L1),1),COLUMN(설계내역서!L1))</f>
        <v>12</v>
      </c>
      <c r="S16" s="57">
        <f ca="1">HYPERLINK("#"&amp;C16&amp;"!"&amp;ADDRESS(4,COLUMN(설계내역서!M1),1),COLUMN(설계내역서!M1))</f>
        <v>13</v>
      </c>
      <c r="T16" s="56"/>
      <c r="U16" s="56"/>
      <c r="V16" s="56"/>
      <c r="W16" s="56"/>
      <c r="X16" s="57">
        <f ca="1">HYPERLINK("#"&amp;C16&amp;"!"&amp;ADDRESS(4,COLUMN(설계내역서!O1),1),COLUMN(설계내역서!O1))</f>
        <v>15</v>
      </c>
    </row>
    <row r="17" spans="2:24" hidden="1" x14ac:dyDescent="0.3">
      <c r="B17" s="51" t="s">
        <v>280</v>
      </c>
      <c r="C17" s="53" t="str">
        <f ca="1">IF(D17="","총괄내역서",MID(D17,FIND("]",D17)+1,LEN(D17)))</f>
        <v>총괄내역서</v>
      </c>
      <c r="D17" s="53" t="str">
        <f ca="1">CELL("filename",총괄내역서!A1)</f>
        <v>C:\Users\user\Downloads\[공내역서(원가계산서).xlsx]총괄내역서</v>
      </c>
      <c r="E17" s="57">
        <f ca="1">HYPERLINK("#"&amp;C17&amp;"!"&amp;ADDRESS(3,COLUMN(총괄내역서!A1),1),COLUMN(총괄내역서!A1))</f>
        <v>1</v>
      </c>
      <c r="F17" s="57">
        <f ca="1">HYPERLINK("#"&amp;C17&amp;"!"&amp;ADDRESS(3,COLUMN(총괄내역서!B1),1),COLUMN(총괄내역서!B1))</f>
        <v>2</v>
      </c>
      <c r="G17" s="57">
        <f ca="1">HYPERLINK("#"&amp;C17&amp;"!"&amp;ADDRESS(3,COLUMN(총괄내역서!C1),1),COLUMN(총괄내역서!C1))</f>
        <v>3</v>
      </c>
      <c r="H17" s="56"/>
      <c r="I17" s="57">
        <f ca="1">HYPERLINK("#"&amp;C17&amp;"!"&amp;ADDRESS(3,COLUMN(총괄내역서!E1),1),COLUMN(총괄내역서!E1))</f>
        <v>5</v>
      </c>
      <c r="J17" s="57">
        <f ca="1">HYPERLINK("#"&amp;C17&amp;"!A"&amp;ROW(총괄내역서!A4),ROW(총괄내역서!A4))</f>
        <v>4</v>
      </c>
      <c r="K17" s="57">
        <f ca="1">HYPERLINK("#"&amp;C17&amp;"!A"&amp;ROW(총괄내역서!A31),ROW(총괄내역서!A31))</f>
        <v>31</v>
      </c>
      <c r="L17" s="57">
        <f ca="1">HYPERLINK("#"&amp;C17&amp;"!"&amp;ADDRESS(3,COLUMN(총괄내역서!D1),1),COLUMN(총괄내역서!D1))</f>
        <v>4</v>
      </c>
      <c r="M17" s="57">
        <f ca="1">HYPERLINK("#"&amp;C17&amp;"!"&amp;ADDRESS(3,COLUMN(총괄내역서!I1),1),COLUMN(총괄내역서!I1))</f>
        <v>9</v>
      </c>
      <c r="N17" s="57">
        <f ca="1">HYPERLINK("#"&amp;C17&amp;"!"&amp;ADDRESS(3,COLUMN(총괄내역서!M1),1),COLUMN(총괄내역서!M1))</f>
        <v>13</v>
      </c>
      <c r="O17" s="57">
        <f ca="1">HYPERLINK("#"&amp;C17&amp;"!"&amp;ADDRESS(3,COLUMN(총괄내역서!N1),1),COLUMN(총괄내역서!N1))</f>
        <v>14</v>
      </c>
      <c r="P17" s="57">
        <f ca="1">HYPERLINK("#"&amp;C17&amp;"!"&amp;ADDRESS(3,COLUMN(총괄내역서!O1),1),COLUMN(총괄내역서!O1))</f>
        <v>15</v>
      </c>
      <c r="Q17" s="57">
        <f ca="1">HYPERLINK("#"&amp;C17&amp;"!"&amp;ADDRESS(3,COLUMN(총괄내역서!P1),1),COLUMN(총괄내역서!P1))</f>
        <v>16</v>
      </c>
      <c r="R17" s="56"/>
      <c r="S17" s="56"/>
      <c r="T17" s="56"/>
      <c r="U17" s="56"/>
      <c r="V17" s="56"/>
      <c r="W17" s="56"/>
      <c r="X17" s="57">
        <f ca="1">HYPERLINK("#"&amp;C17&amp;"!"&amp;ADDRESS(3,COLUMN(총괄내역서!H1),1),COLUMN(총괄내역서!H1))</f>
        <v>8</v>
      </c>
    </row>
    <row r="18" spans="2:24" hidden="1" x14ac:dyDescent="0.3">
      <c r="B18" s="51" t="s">
        <v>281</v>
      </c>
      <c r="C18" s="53" t="e">
        <f ca="1">IF(D18="","중기사용료",MID(D18,FIND("]",D18)+1,LEN(D18)))</f>
        <v>#REF!</v>
      </c>
      <c r="D18" s="53" t="e">
        <f ca="1">CELL("filename",#REF!)</f>
        <v>#REF!</v>
      </c>
      <c r="E18" s="56"/>
      <c r="F18" s="57" t="e">
        <f ca="1">HYPERLINK("#"&amp;C18&amp;"!"&amp;ADDRESS(4,COLUMN(#REF!),1),COLUMN(#REF!))</f>
        <v>#REF!</v>
      </c>
      <c r="G18" s="57" t="e">
        <f ca="1">HYPERLINK("#"&amp;C18&amp;"!"&amp;ADDRESS(4,COLUMN(#REF!),1),COLUMN(#REF!))</f>
        <v>#REF!</v>
      </c>
      <c r="H18" s="57" t="e">
        <f ca="1">HYPERLINK("#"&amp;C18&amp;"!"&amp;ADDRESS(4,COLUMN(#REF!),1),COLUMN(#REF!))</f>
        <v>#REF!</v>
      </c>
      <c r="I18" s="57" t="e">
        <f ca="1">HYPERLINK("#"&amp;C18&amp;"!"&amp;ADDRESS(4,COLUMN(#REF!),1),COLUMN(#REF!))</f>
        <v>#REF!</v>
      </c>
      <c r="J18" s="57" t="e">
        <f ca="1">HYPERLINK("#"&amp;C18&amp;"!A"&amp;ROW(#REF!),ROW(#REF!))</f>
        <v>#REF!</v>
      </c>
      <c r="K18" s="57" t="e">
        <f ca="1">HYPERLINK("#"&amp;C18&amp;"!A"&amp;ROW(#REF!),ROW(#REF!))</f>
        <v>#REF!</v>
      </c>
      <c r="L18" s="57" t="e">
        <f ca="1">HYPERLINK("#"&amp;C18&amp;"!"&amp;ADDRESS(4,COLUMN(#REF!),1),COLUMN(#REF!))</f>
        <v>#REF!</v>
      </c>
      <c r="M18" s="57" t="e">
        <f ca="1">HYPERLINK("#"&amp;C18&amp;"!"&amp;ADDRESS(4,COLUMN(#REF!),1),COLUMN(#REF!))</f>
        <v>#REF!</v>
      </c>
      <c r="N18" s="57" t="e">
        <f ca="1">HYPERLINK("#"&amp;C18&amp;"!"&amp;ADDRESS(4,COLUMN(#REF!),1),COLUMN(#REF!))</f>
        <v>#REF!</v>
      </c>
      <c r="O18" s="57" t="e">
        <f ca="1">HYPERLINK("#"&amp;C18&amp;"!"&amp;ADDRESS(4,COLUMN(#REF!),1),COLUMN(#REF!))</f>
        <v>#REF!</v>
      </c>
      <c r="P18" s="57" t="e">
        <f ca="1">HYPERLINK("#"&amp;C18&amp;"!"&amp;ADDRESS(4,COLUMN(#REF!),1),COLUMN(#REF!))</f>
        <v>#REF!</v>
      </c>
      <c r="Q18" s="57" t="e">
        <f ca="1">HYPERLINK("#"&amp;C18&amp;"!"&amp;ADDRESS(4,COLUMN(#REF!),1),COLUMN(#REF!))</f>
        <v>#REF!</v>
      </c>
      <c r="R18" s="57" t="e">
        <f ca="1">HYPERLINK("#"&amp;C18&amp;"!"&amp;ADDRESS(4,COLUMN(#REF!),1),COLUMN(#REF!))</f>
        <v>#REF!</v>
      </c>
      <c r="S18" s="57" t="e">
        <f ca="1">HYPERLINK("#"&amp;C18&amp;"!"&amp;ADDRESS(4,COLUMN(#REF!),1),COLUMN(#REF!))</f>
        <v>#REF!</v>
      </c>
      <c r="T18" s="56"/>
      <c r="U18" s="56"/>
      <c r="V18" s="56"/>
      <c r="W18" s="56"/>
      <c r="X18" s="57" t="e">
        <f ca="1">HYPERLINK("#"&amp;C18&amp;"!"&amp;ADDRESS(4,COLUMN(#REF!),1),COLUMN(#REF!))</f>
        <v>#REF!</v>
      </c>
    </row>
    <row r="19" spans="2:24" hidden="1" x14ac:dyDescent="0.3">
      <c r="B19" s="51" t="s">
        <v>282</v>
      </c>
      <c r="C19" s="53" t="e">
        <f ca="1">IF(D19="","일위대가표",MID(D19,FIND("]",D19)+1,LEN(D19)))</f>
        <v>#REF!</v>
      </c>
      <c r="D19" s="53" t="e">
        <f ca="1">CELL("filename",#REF!)</f>
        <v>#REF!</v>
      </c>
      <c r="E19" s="56"/>
      <c r="F19" s="57" t="e">
        <f ca="1">HYPERLINK("#"&amp;C19&amp;"!"&amp;ADDRESS(4,COLUMN(#REF!),1),COLUMN(#REF!))</f>
        <v>#REF!</v>
      </c>
      <c r="G19" s="57" t="e">
        <f ca="1">HYPERLINK("#"&amp;C19&amp;"!"&amp;ADDRESS(4,COLUMN(#REF!),1),COLUMN(#REF!))</f>
        <v>#REF!</v>
      </c>
      <c r="H19" s="57" t="e">
        <f ca="1">HYPERLINK("#"&amp;C19&amp;"!"&amp;ADDRESS(4,COLUMN(#REF!),1),COLUMN(#REF!))</f>
        <v>#REF!</v>
      </c>
      <c r="I19" s="57" t="e">
        <f ca="1">HYPERLINK("#"&amp;C19&amp;"!"&amp;ADDRESS(4,COLUMN(#REF!),1),COLUMN(#REF!))</f>
        <v>#REF!</v>
      </c>
      <c r="J19" s="57" t="e">
        <f ca="1">HYPERLINK("#"&amp;C19&amp;"!A"&amp;ROW(#REF!),ROW(#REF!))</f>
        <v>#REF!</v>
      </c>
      <c r="K19" s="57" t="e">
        <f ca="1">HYPERLINK("#"&amp;C19&amp;"!A"&amp;ROW(#REF!),ROW(#REF!))</f>
        <v>#REF!</v>
      </c>
      <c r="L19" s="57" t="e">
        <f ca="1">HYPERLINK("#"&amp;C19&amp;"!"&amp;ADDRESS(4,COLUMN(#REF!),1),COLUMN(#REF!))</f>
        <v>#REF!</v>
      </c>
      <c r="M19" s="57" t="e">
        <f ca="1">HYPERLINK("#"&amp;C19&amp;"!"&amp;ADDRESS(4,COLUMN(#REF!),1),COLUMN(#REF!))</f>
        <v>#REF!</v>
      </c>
      <c r="N19" s="57" t="e">
        <f ca="1">HYPERLINK("#"&amp;C19&amp;"!"&amp;ADDRESS(4,COLUMN(#REF!),1),COLUMN(#REF!))</f>
        <v>#REF!</v>
      </c>
      <c r="O19" s="57" t="e">
        <f ca="1">HYPERLINK("#"&amp;C19&amp;"!"&amp;ADDRESS(4,COLUMN(#REF!),1),COLUMN(#REF!))</f>
        <v>#REF!</v>
      </c>
      <c r="P19" s="57" t="e">
        <f ca="1">HYPERLINK("#"&amp;C19&amp;"!"&amp;ADDRESS(4,COLUMN(#REF!),1),COLUMN(#REF!))</f>
        <v>#REF!</v>
      </c>
      <c r="Q19" s="57" t="e">
        <f ca="1">HYPERLINK("#"&amp;C19&amp;"!"&amp;ADDRESS(4,COLUMN(#REF!),1),COLUMN(#REF!))</f>
        <v>#REF!</v>
      </c>
      <c r="R19" s="57" t="e">
        <f ca="1">HYPERLINK("#"&amp;C19&amp;"!"&amp;ADDRESS(4,COLUMN(#REF!),1),COLUMN(#REF!))</f>
        <v>#REF!</v>
      </c>
      <c r="S19" s="57" t="e">
        <f ca="1">HYPERLINK("#"&amp;C19&amp;"!"&amp;ADDRESS(4,COLUMN(#REF!),1),COLUMN(#REF!))</f>
        <v>#REF!</v>
      </c>
      <c r="T19" s="56"/>
      <c r="U19" s="56"/>
      <c r="V19" s="56"/>
      <c r="W19" s="56"/>
      <c r="X19" s="57" t="e">
        <f ca="1">HYPERLINK("#"&amp;C19&amp;"!"&amp;ADDRESS(4,COLUMN(#REF!),1),COLUMN(#REF!))</f>
        <v>#REF!</v>
      </c>
    </row>
    <row r="20" spans="2:24" hidden="1" x14ac:dyDescent="0.3">
      <c r="B20" s="51" t="s">
        <v>283</v>
      </c>
      <c r="C20" s="53" t="e">
        <f ca="1">IF(D20="","단가산출근거",MID(D20,FIND("]",D20)+1,LEN(D20)))</f>
        <v>#REF!</v>
      </c>
      <c r="D20" s="53" t="e">
        <f ca="1">CELL("filename",#REF!)</f>
        <v>#REF!</v>
      </c>
      <c r="E20" s="57" t="e">
        <f ca="1">HYPERLINK("#"&amp;C20&amp;"!"&amp;ADDRESS(4,COLUMN(#REF!),1),COLUMN(#REF!))</f>
        <v>#REF!</v>
      </c>
      <c r="F20" s="57" t="e">
        <f ca="1">HYPERLINK("#"&amp;C20&amp;"!"&amp;ADDRESS(4,COLUMN(#REF!),1),COLUMN(#REF!))</f>
        <v>#REF!</v>
      </c>
      <c r="G20" s="56"/>
      <c r="H20" s="56"/>
      <c r="I20" s="56"/>
      <c r="J20" s="57" t="e">
        <f ca="1">HYPERLINK("#"&amp;C20&amp;"!A"&amp;ROW(#REF!),ROW(#REF!))</f>
        <v>#REF!</v>
      </c>
      <c r="K20" s="57" t="e">
        <f ca="1">HYPERLINK("#"&amp;C20&amp;"!A"&amp;ROW(#REF!),ROW(#REF!))</f>
        <v>#REF!</v>
      </c>
      <c r="L20" s="57" t="e">
        <f ca="1">HYPERLINK("#"&amp;C20&amp;"!"&amp;ADDRESS(4,COLUMN(#REF!),1),COLUMN(#REF!))</f>
        <v>#REF!</v>
      </c>
      <c r="M20" s="56"/>
      <c r="N20" s="57" t="e">
        <f ca="1">HYPERLINK("#"&amp;C20&amp;"!"&amp;ADDRESS(4,COLUMN(#REF!),1),COLUMN(#REF!))</f>
        <v>#REF!</v>
      </c>
      <c r="O20" s="56"/>
      <c r="P20" s="57" t="e">
        <f ca="1">HYPERLINK("#"&amp;C20&amp;"!"&amp;ADDRESS(4,COLUMN(#REF!),1),COLUMN(#REF!))</f>
        <v>#REF!</v>
      </c>
      <c r="Q20" s="56"/>
      <c r="R20" s="57" t="e">
        <f ca="1">HYPERLINK("#"&amp;C20&amp;"!"&amp;ADDRESS(4,COLUMN(#REF!),1),COLUMN(#REF!))</f>
        <v>#REF!</v>
      </c>
      <c r="S20" s="56"/>
      <c r="T20" s="56"/>
      <c r="U20" s="56"/>
      <c r="V20" s="56"/>
      <c r="W20" s="56"/>
      <c r="X20" s="57" t="e">
        <f ca="1">HYPERLINK("#"&amp;C20&amp;"!"&amp;ADDRESS(4,COLUMN(#REF!),1),COLUMN(#REF!))</f>
        <v>#REF!</v>
      </c>
    </row>
    <row r="21" spans="2:24" hidden="1" x14ac:dyDescent="0.3">
      <c r="B21" s="51" t="s">
        <v>284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2:24" hidden="1" x14ac:dyDescent="0.3">
      <c r="B22" s="51" t="s">
        <v>285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</row>
    <row r="23" spans="2:24" hidden="1" x14ac:dyDescent="0.3">
      <c r="B23" s="51" t="s">
        <v>286</v>
      </c>
      <c r="C23" s="51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</row>
    <row r="24" spans="2:24" hidden="1" x14ac:dyDescent="0.3">
      <c r="B24" s="49" t="s">
        <v>287</v>
      </c>
      <c r="D24" s="55">
        <f>ROW(C33)</f>
        <v>33</v>
      </c>
    </row>
    <row r="25" spans="2:24" hidden="1" x14ac:dyDescent="0.3">
      <c r="B25" s="51" t="s">
        <v>288</v>
      </c>
      <c r="C25" s="51" t="s">
        <v>289</v>
      </c>
    </row>
    <row r="26" spans="2:24" hidden="1" x14ac:dyDescent="0.3">
      <c r="B26" s="51" t="s">
        <v>290</v>
      </c>
      <c r="C26" s="51" t="s">
        <v>96</v>
      </c>
    </row>
    <row r="27" spans="2:24" hidden="1" x14ac:dyDescent="0.3">
      <c r="B27" s="51" t="s">
        <v>291</v>
      </c>
      <c r="C27" s="51" t="s">
        <v>292</v>
      </c>
    </row>
    <row r="28" spans="2:24" hidden="1" x14ac:dyDescent="0.3">
      <c r="B28" s="51" t="s">
        <v>293</v>
      </c>
      <c r="C28" s="51" t="s">
        <v>292</v>
      </c>
    </row>
    <row r="29" spans="2:24" hidden="1" x14ac:dyDescent="0.3">
      <c r="B29" s="51" t="s">
        <v>294</v>
      </c>
      <c r="C29" s="51" t="s">
        <v>292</v>
      </c>
    </row>
    <row r="30" spans="2:24" hidden="1" x14ac:dyDescent="0.3">
      <c r="B30" s="51" t="s">
        <v>295</v>
      </c>
      <c r="C30" s="53" t="s">
        <v>296</v>
      </c>
    </row>
    <row r="31" spans="2:24" hidden="1" x14ac:dyDescent="0.3">
      <c r="B31" s="51" t="s">
        <v>297</v>
      </c>
      <c r="C31" s="51" t="s">
        <v>62</v>
      </c>
    </row>
    <row r="32" spans="2:24" hidden="1" x14ac:dyDescent="0.3">
      <c r="B32" s="51" t="s">
        <v>298</v>
      </c>
      <c r="C32" s="51" t="s">
        <v>63</v>
      </c>
    </row>
    <row r="33" spans="2:10" hidden="1" x14ac:dyDescent="0.3">
      <c r="B33" s="49" t="s">
        <v>299</v>
      </c>
      <c r="D33" s="55">
        <f>ROW(C52)</f>
        <v>52</v>
      </c>
    </row>
    <row r="34" spans="2:10" hidden="1" x14ac:dyDescent="0.3">
      <c r="B34" s="51" t="s">
        <v>300</v>
      </c>
      <c r="C34" s="51" t="s">
        <v>62</v>
      </c>
      <c r="D34" s="51" t="s">
        <v>62</v>
      </c>
      <c r="E34" s="51" t="s">
        <v>292</v>
      </c>
      <c r="F34" s="51" t="s">
        <v>292</v>
      </c>
      <c r="G34" s="51" t="s">
        <v>292</v>
      </c>
      <c r="H34" s="51" t="s">
        <v>292</v>
      </c>
    </row>
    <row r="35" spans="2:10" hidden="1" x14ac:dyDescent="0.3">
      <c r="B35" s="51" t="s">
        <v>301</v>
      </c>
      <c r="C35" s="54" t="e">
        <f>#REF!</f>
        <v>#REF!</v>
      </c>
      <c r="D35" s="54" t="e">
        <f>#REF!</f>
        <v>#REF!</v>
      </c>
      <c r="E35" s="54" t="e">
        <f>#REF!</f>
        <v>#REF!</v>
      </c>
      <c r="F35" s="54" t="e">
        <f>#REF!</f>
        <v>#REF!</v>
      </c>
      <c r="G35" s="54" t="e">
        <f>#REF!</f>
        <v>#REF!</v>
      </c>
      <c r="H35" s="54" t="e">
        <f>#REF!</f>
        <v>#REF!</v>
      </c>
      <c r="I35" s="54" t="e">
        <f>#REF!</f>
        <v>#REF!</v>
      </c>
      <c r="J35" s="54" t="e">
        <f>#REF!</f>
        <v>#REF!</v>
      </c>
    </row>
    <row r="36" spans="2:10" hidden="1" x14ac:dyDescent="0.3">
      <c r="B36" s="51" t="s">
        <v>303</v>
      </c>
      <c r="C36" s="53" t="s">
        <v>296</v>
      </c>
    </row>
    <row r="37" spans="2:10" hidden="1" x14ac:dyDescent="0.3">
      <c r="B37" s="51" t="s">
        <v>302</v>
      </c>
      <c r="C37" s="51" t="s">
        <v>304</v>
      </c>
      <c r="D37" s="51"/>
      <c r="E37" s="51"/>
      <c r="F37" s="51" t="s">
        <v>305</v>
      </c>
      <c r="G37" s="51" t="s">
        <v>306</v>
      </c>
      <c r="H37" s="51" t="s">
        <v>307</v>
      </c>
    </row>
    <row r="38" spans="2:10" hidden="1" x14ac:dyDescent="0.3">
      <c r="B38" s="51" t="s">
        <v>308</v>
      </c>
      <c r="C38" s="51" t="s">
        <v>309</v>
      </c>
      <c r="D38" s="51"/>
      <c r="E38" s="51"/>
      <c r="F38" s="51"/>
      <c r="G38" s="51"/>
      <c r="H38" s="51"/>
    </row>
    <row r="39" spans="2:10" hidden="1" x14ac:dyDescent="0.3">
      <c r="B39" s="51" t="s">
        <v>310</v>
      </c>
      <c r="C39" s="51" t="s">
        <v>62</v>
      </c>
    </row>
    <row r="40" spans="2:10" hidden="1" x14ac:dyDescent="0.3">
      <c r="B40" s="51" t="s">
        <v>311</v>
      </c>
      <c r="C40" s="51" t="s">
        <v>62</v>
      </c>
    </row>
    <row r="41" spans="2:10" hidden="1" x14ac:dyDescent="0.3">
      <c r="B41" s="51" t="s">
        <v>312</v>
      </c>
      <c r="C41" s="51" t="s">
        <v>292</v>
      </c>
    </row>
    <row r="42" spans="2:10" hidden="1" x14ac:dyDescent="0.3">
      <c r="B42" s="51" t="s">
        <v>313</v>
      </c>
      <c r="C42" s="51" t="s">
        <v>62</v>
      </c>
    </row>
    <row r="43" spans="2:10" hidden="1" x14ac:dyDescent="0.3">
      <c r="B43" s="51" t="s">
        <v>314</v>
      </c>
      <c r="C43" s="51" t="s">
        <v>62</v>
      </c>
    </row>
    <row r="44" spans="2:10" hidden="1" x14ac:dyDescent="0.3">
      <c r="B44" s="51" t="s">
        <v>315</v>
      </c>
      <c r="C44" s="51" t="s">
        <v>63</v>
      </c>
    </row>
    <row r="45" spans="2:10" hidden="1" x14ac:dyDescent="0.3">
      <c r="B45" s="51" t="s">
        <v>316</v>
      </c>
      <c r="C45" s="53" t="s">
        <v>296</v>
      </c>
    </row>
    <row r="46" spans="2:10" hidden="1" x14ac:dyDescent="0.3">
      <c r="B46" s="51" t="s">
        <v>317</v>
      </c>
      <c r="C46" s="53" t="s">
        <v>296</v>
      </c>
    </row>
    <row r="47" spans="2:10" hidden="1" x14ac:dyDescent="0.3">
      <c r="B47" s="51" t="s">
        <v>318</v>
      </c>
      <c r="C47" s="53" t="s">
        <v>296</v>
      </c>
    </row>
    <row r="48" spans="2:10" hidden="1" x14ac:dyDescent="0.3">
      <c r="B48" s="51" t="s">
        <v>319</v>
      </c>
      <c r="C48" s="53" t="s">
        <v>296</v>
      </c>
    </row>
    <row r="49" spans="2:6" hidden="1" x14ac:dyDescent="0.3">
      <c r="B49" s="51" t="s">
        <v>320</v>
      </c>
      <c r="C49" s="51" t="s">
        <v>321</v>
      </c>
    </row>
    <row r="50" spans="2:6" hidden="1" x14ac:dyDescent="0.3">
      <c r="B50" s="51" t="s">
        <v>322</v>
      </c>
      <c r="C50" s="53" t="s">
        <v>323</v>
      </c>
    </row>
    <row r="51" spans="2:6" hidden="1" x14ac:dyDescent="0.3">
      <c r="B51" s="51" t="s">
        <v>324</v>
      </c>
      <c r="C51" s="51"/>
    </row>
    <row r="52" spans="2:6" hidden="1" x14ac:dyDescent="0.3">
      <c r="B52" s="49" t="s">
        <v>325</v>
      </c>
      <c r="D52" s="55">
        <f>ROW(C75)</f>
        <v>75</v>
      </c>
    </row>
    <row r="53" spans="2:6" hidden="1" x14ac:dyDescent="0.3">
      <c r="B53" s="51" t="s">
        <v>326</v>
      </c>
      <c r="C53" s="51" t="s">
        <v>6</v>
      </c>
      <c r="D53" s="51" t="s">
        <v>7</v>
      </c>
      <c r="E53" s="51" t="s">
        <v>8</v>
      </c>
      <c r="F53" s="51" t="s">
        <v>5</v>
      </c>
    </row>
    <row r="54" spans="2:6" hidden="1" x14ac:dyDescent="0.3">
      <c r="B54" s="51" t="s">
        <v>327</v>
      </c>
      <c r="C54" s="51" t="s">
        <v>328</v>
      </c>
    </row>
    <row r="55" spans="2:6" hidden="1" x14ac:dyDescent="0.3">
      <c r="B55" s="51" t="s">
        <v>329</v>
      </c>
      <c r="C55" s="51" t="s">
        <v>330</v>
      </c>
    </row>
    <row r="56" spans="2:6" hidden="1" x14ac:dyDescent="0.3">
      <c r="B56" s="51" t="s">
        <v>331</v>
      </c>
      <c r="C56" s="51" t="s">
        <v>78</v>
      </c>
      <c r="D56" s="51" t="s">
        <v>85</v>
      </c>
    </row>
    <row r="57" spans="2:6" hidden="1" x14ac:dyDescent="0.3">
      <c r="B57" s="51" t="s">
        <v>332</v>
      </c>
      <c r="C57" s="51" t="s">
        <v>80</v>
      </c>
      <c r="D57" s="51" t="s">
        <v>86</v>
      </c>
    </row>
    <row r="58" spans="2:6" hidden="1" x14ac:dyDescent="0.3">
      <c r="B58" s="51" t="s">
        <v>333</v>
      </c>
      <c r="C58" s="51" t="s">
        <v>81</v>
      </c>
      <c r="D58" s="51" t="s">
        <v>87</v>
      </c>
    </row>
    <row r="59" spans="2:6" hidden="1" x14ac:dyDescent="0.3">
      <c r="B59" s="51" t="s">
        <v>334</v>
      </c>
      <c r="C59" s="51" t="s">
        <v>82</v>
      </c>
      <c r="D59" s="51" t="s">
        <v>88</v>
      </c>
    </row>
    <row r="60" spans="2:6" hidden="1" x14ac:dyDescent="0.3">
      <c r="B60" s="51" t="s">
        <v>335</v>
      </c>
      <c r="C60" s="51" t="s">
        <v>83</v>
      </c>
      <c r="D60" s="51" t="s">
        <v>89</v>
      </c>
    </row>
    <row r="61" spans="2:6" hidden="1" x14ac:dyDescent="0.3">
      <c r="B61" s="51" t="s">
        <v>336</v>
      </c>
      <c r="C61" s="51" t="s">
        <v>84</v>
      </c>
    </row>
    <row r="62" spans="2:6" hidden="1" x14ac:dyDescent="0.3">
      <c r="B62" s="51" t="s">
        <v>337</v>
      </c>
      <c r="C62" s="51" t="s">
        <v>338</v>
      </c>
    </row>
    <row r="63" spans="2:6" hidden="1" x14ac:dyDescent="0.3">
      <c r="B63" s="51" t="s">
        <v>339</v>
      </c>
      <c r="C63" s="51" t="s">
        <v>1</v>
      </c>
    </row>
    <row r="64" spans="2:6" hidden="1" x14ac:dyDescent="0.3">
      <c r="B64" s="51" t="s">
        <v>340</v>
      </c>
      <c r="C64" s="51" t="s">
        <v>341</v>
      </c>
    </row>
    <row r="65" spans="2:4" hidden="1" x14ac:dyDescent="0.3">
      <c r="B65" s="51" t="s">
        <v>342</v>
      </c>
      <c r="C65" s="51" t="s">
        <v>343</v>
      </c>
    </row>
    <row r="66" spans="2:4" hidden="1" x14ac:dyDescent="0.3">
      <c r="B66" s="51" t="s">
        <v>344</v>
      </c>
      <c r="C66" s="51" t="s">
        <v>91</v>
      </c>
    </row>
    <row r="67" spans="2:4" hidden="1" x14ac:dyDescent="0.3">
      <c r="B67" s="51" t="s">
        <v>345</v>
      </c>
      <c r="C67" s="51" t="s">
        <v>2</v>
      </c>
    </row>
    <row r="68" spans="2:4" hidden="1" x14ac:dyDescent="0.3">
      <c r="B68" s="51" t="s">
        <v>346</v>
      </c>
      <c r="C68" s="51" t="s">
        <v>3</v>
      </c>
    </row>
    <row r="69" spans="2:4" hidden="1" x14ac:dyDescent="0.3">
      <c r="B69" s="51" t="s">
        <v>347</v>
      </c>
      <c r="C69" s="51" t="s">
        <v>92</v>
      </c>
    </row>
    <row r="70" spans="2:4" hidden="1" x14ac:dyDescent="0.3">
      <c r="B70" s="51" t="s">
        <v>348</v>
      </c>
      <c r="C70" s="51" t="s">
        <v>4</v>
      </c>
    </row>
    <row r="71" spans="2:4" hidden="1" x14ac:dyDescent="0.3">
      <c r="B71" s="51" t="s">
        <v>349</v>
      </c>
      <c r="C71" s="51" t="s">
        <v>64</v>
      </c>
    </row>
    <row r="72" spans="2:4" hidden="1" x14ac:dyDescent="0.3">
      <c r="B72" s="51" t="s">
        <v>350</v>
      </c>
      <c r="C72" s="51" t="s">
        <v>79</v>
      </c>
    </row>
    <row r="73" spans="2:4" hidden="1" x14ac:dyDescent="0.3">
      <c r="B73" s="51" t="s">
        <v>351</v>
      </c>
      <c r="C73" s="51" t="s">
        <v>93</v>
      </c>
    </row>
    <row r="74" spans="2:4" hidden="1" x14ac:dyDescent="0.3">
      <c r="B74" s="51" t="s">
        <v>352</v>
      </c>
      <c r="C74" s="51" t="s">
        <v>9</v>
      </c>
    </row>
    <row r="75" spans="2:4" hidden="1" x14ac:dyDescent="0.3">
      <c r="B75" s="49" t="s">
        <v>353</v>
      </c>
      <c r="D75" s="55">
        <f>ROW(C79)</f>
        <v>79</v>
      </c>
    </row>
    <row r="76" spans="2:4" hidden="1" x14ac:dyDescent="0.3">
      <c r="B76" s="51" t="s">
        <v>354</v>
      </c>
      <c r="C76" s="51" t="s">
        <v>355</v>
      </c>
    </row>
    <row r="77" spans="2:4" hidden="1" x14ac:dyDescent="0.3">
      <c r="B77" s="51" t="s">
        <v>356</v>
      </c>
      <c r="C77" s="51" t="s">
        <v>357</v>
      </c>
    </row>
    <row r="78" spans="2:4" hidden="1" x14ac:dyDescent="0.3">
      <c r="B78" s="51" t="s">
        <v>358</v>
      </c>
      <c r="C78" s="51" t="s">
        <v>359</v>
      </c>
    </row>
    <row r="79" spans="2:4" hidden="1" x14ac:dyDescent="0.3">
      <c r="B79" s="49" t="s">
        <v>360</v>
      </c>
    </row>
    <row r="80" spans="2:4" hidden="1" x14ac:dyDescent="0.3"/>
  </sheetData>
  <sheetProtection algorithmName="SHA-512" hashValue="NqT1zw8yR25hMi/6z1BeyjtVl1T85XlA/c5Qg4RZq7lL/oHFJWB4/FOH1UkzRrwKkoWX4r+pAHEAoO/FT+EsdA==" saltValue="OB0N/oaHlVZ/HoFM1Rtp9w==" spinCount="100000" sheet="1" objects="1" scenarios="1" selectLockedCells="1"/>
  <mergeCells count="1">
    <mergeCell ref="B2:X2"/>
  </mergeCells>
  <phoneticPr fontId="10" type="noConversion"/>
  <pageMargins left="0.59055118110236215" right="0.59055118110236215" top="0.78740157480314965" bottom="1" header="0" footer="0.5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공사원가계산서</vt:lpstr>
      <vt:lpstr>총괄내역서</vt:lpstr>
      <vt:lpstr>설계내역서</vt:lpstr>
      <vt:lpstr>공사원가계산서!Print_Area</vt:lpstr>
      <vt:lpstr>설계내역서!Print_Area</vt:lpstr>
      <vt:lpstr>총괄내역서!Print_Area</vt:lpstr>
      <vt:lpstr>공사원가계산서!Print_Titles</vt:lpstr>
      <vt:lpstr>설계내역서!Print_Titles</vt:lpstr>
      <vt:lpstr>총괄내역서!Print_Titles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백남준아트센터 산책로 환경개선사업</dc:title>
  <dc:creator>user</dc:creator>
  <dc:description>STmate w25.06로 작성</dc:description>
  <cp:lastModifiedBy>user</cp:lastModifiedBy>
  <dcterms:created xsi:type="dcterms:W3CDTF">2025-06-04T09:24:58Z</dcterms:created>
  <dcterms:modified xsi:type="dcterms:W3CDTF">2025-06-26T01:21:55Z</dcterms:modified>
</cp:coreProperties>
</file>