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. 계약\2. 2025년 계약\81. 강당 리모델링 공사_입찰(배지현)\1. 기안문\"/>
    </mc:Choice>
  </mc:AlternateContent>
  <xr:revisionPtr revIDLastSave="0" documentId="13_ncr:1_{2B57E435-5527-44D9-B5F4-5CD0AB1044E4}" xr6:coauthVersionLast="47" xr6:coauthVersionMax="47" xr10:uidLastSave="{00000000-0000-0000-0000-000000000000}"/>
  <bookViews>
    <workbookView xWindow="28860" yWindow="120" windowWidth="26355" windowHeight="15345" xr2:uid="{00000000-000D-0000-FFFF-FFFF00000000}"/>
  </bookViews>
  <sheets>
    <sheet name="원가계산서" sheetId="1" r:id="rId1"/>
    <sheet name="공종별집계표" sheetId="2" r:id="rId2"/>
    <sheet name="공종별내역서" sheetId="3" r:id="rId3"/>
    <sheet name="일위대가목록" sheetId="4" r:id="rId4"/>
    <sheet name="일위대가" sheetId="5" r:id="rId5"/>
    <sheet name="중기단가목록" sheetId="6" r:id="rId6"/>
    <sheet name="중기단가산출서" sheetId="7" r:id="rId7"/>
    <sheet name="단가대비표" sheetId="8" r:id="rId8"/>
    <sheet name="공사설정" sheetId="9" r:id="rId9"/>
  </sheets>
  <definedNames>
    <definedName name="_xlnm.Print_Area" localSheetId="2">공종별내역서!$A$5:$AW$279</definedName>
    <definedName name="_xlnm.Print_Area" localSheetId="1">공종별집계표!$A$5:$M$29</definedName>
    <definedName name="_xlnm.Print_Area" localSheetId="0">원가계산서!$A$3:$H$36</definedName>
    <definedName name="_xlnm.Print_Area" localSheetId="4">일위대가!$A$5:$M$460</definedName>
    <definedName name="_xlnm.Print_Area" localSheetId="3">일위대가목록!$A$4:$J$71</definedName>
    <definedName name="_xlnm.Print_Area" localSheetId="5">중기단가목록!$A$4:$J$20</definedName>
    <definedName name="_xlnm.Print_Area" localSheetId="6">중기단가산출서!$A$4:$F$55</definedName>
    <definedName name="_xlnm.Print_Titles" localSheetId="2">공종별내역서!$1:$4</definedName>
    <definedName name="_xlnm.Print_Titles" localSheetId="1">공종별집계표!$1:$4</definedName>
    <definedName name="_xlnm.Print_Titles" localSheetId="7">단가대비표!$1:$4</definedName>
    <definedName name="_xlnm.Print_Titles" localSheetId="0">원가계산서!$1:$3</definedName>
    <definedName name="_xlnm.Print_Titles" localSheetId="4">일위대가!$1:$4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1" i="1"/>
  <c r="E25" i="1"/>
  <c r="E26" i="1"/>
  <c r="AE104" i="8" l="1"/>
  <c r="V104" i="8"/>
  <c r="U104" i="8"/>
  <c r="AE103" i="8"/>
  <c r="V103" i="8"/>
  <c r="U103" i="8"/>
  <c r="AE102" i="8"/>
  <c r="V102" i="8"/>
  <c r="U102" i="8"/>
  <c r="AE101" i="8"/>
  <c r="V101" i="8"/>
  <c r="U101" i="8"/>
  <c r="AE100" i="8"/>
  <c r="V100" i="8"/>
  <c r="U100" i="8"/>
  <c r="AE99" i="8"/>
  <c r="V99" i="8"/>
  <c r="U99" i="8"/>
  <c r="AE98" i="8"/>
  <c r="I396" i="5" s="1"/>
  <c r="V98" i="8"/>
  <c r="U98" i="8"/>
  <c r="AE97" i="8"/>
  <c r="V97" i="8"/>
  <c r="U97" i="8"/>
  <c r="AE96" i="8"/>
  <c r="V96" i="8"/>
  <c r="U96" i="8"/>
  <c r="AE95" i="8"/>
  <c r="V95" i="8"/>
  <c r="U95" i="8"/>
  <c r="AE94" i="8"/>
  <c r="V94" i="8"/>
  <c r="U94" i="8"/>
  <c r="AE93" i="8"/>
  <c r="V93" i="8"/>
  <c r="U93" i="8"/>
  <c r="AE92" i="8"/>
  <c r="I383" i="5" s="1"/>
  <c r="V92" i="8"/>
  <c r="U92" i="8"/>
  <c r="AE91" i="8"/>
  <c r="V91" i="8"/>
  <c r="U91" i="8"/>
  <c r="AE90" i="8"/>
  <c r="V90" i="8"/>
  <c r="U90" i="8"/>
  <c r="AE89" i="8"/>
  <c r="V89" i="8"/>
  <c r="U89" i="8"/>
  <c r="AE88" i="8"/>
  <c r="V88" i="8"/>
  <c r="U88" i="8"/>
  <c r="AE87" i="8"/>
  <c r="V87" i="8"/>
  <c r="U87" i="8"/>
  <c r="AE86" i="8"/>
  <c r="V86" i="8"/>
  <c r="U86" i="8"/>
  <c r="AE85" i="8"/>
  <c r="V85" i="8"/>
  <c r="U85" i="8"/>
  <c r="AE84" i="8"/>
  <c r="V84" i="8"/>
  <c r="U84" i="8"/>
  <c r="AE83" i="8"/>
  <c r="V83" i="8"/>
  <c r="U83" i="8"/>
  <c r="AE82" i="8"/>
  <c r="V82" i="8"/>
  <c r="U82" i="8"/>
  <c r="AE81" i="8"/>
  <c r="I426" i="5" s="1"/>
  <c r="V81" i="8"/>
  <c r="U81" i="8"/>
  <c r="AE80" i="8"/>
  <c r="V80" i="8"/>
  <c r="U80" i="8"/>
  <c r="AE79" i="8"/>
  <c r="V79" i="8"/>
  <c r="U79" i="8"/>
  <c r="E231" i="3" s="1"/>
  <c r="K231" i="3" s="1"/>
  <c r="AE78" i="8"/>
  <c r="V78" i="8"/>
  <c r="U78" i="8"/>
  <c r="AE77" i="8"/>
  <c r="V77" i="8"/>
  <c r="U77" i="8"/>
  <c r="E37" i="3" s="1"/>
  <c r="AE76" i="8"/>
  <c r="V76" i="8"/>
  <c r="U76" i="8"/>
  <c r="AE75" i="8"/>
  <c r="V75" i="8"/>
  <c r="U75" i="8"/>
  <c r="E35" i="3" s="1"/>
  <c r="K35" i="3" s="1"/>
  <c r="AE74" i="8"/>
  <c r="V74" i="8"/>
  <c r="U74" i="8"/>
  <c r="AE73" i="8"/>
  <c r="V73" i="8"/>
  <c r="U73" i="8"/>
  <c r="E33" i="3" s="1"/>
  <c r="AE72" i="8"/>
  <c r="V72" i="8"/>
  <c r="U72" i="8"/>
  <c r="AE71" i="8"/>
  <c r="V71" i="8"/>
  <c r="U71" i="8"/>
  <c r="E31" i="3" s="1"/>
  <c r="K31" i="3" s="1"/>
  <c r="AE70" i="8"/>
  <c r="V70" i="8"/>
  <c r="U70" i="8"/>
  <c r="AE69" i="8"/>
  <c r="V69" i="8"/>
  <c r="U69" i="8"/>
  <c r="E183" i="5" s="1"/>
  <c r="AE68" i="8"/>
  <c r="V68" i="8"/>
  <c r="U68" i="8"/>
  <c r="AE67" i="8"/>
  <c r="V67" i="8"/>
  <c r="U67" i="8"/>
  <c r="E12" i="3" s="1"/>
  <c r="F12" i="3" s="1"/>
  <c r="AE66" i="8"/>
  <c r="V66" i="8"/>
  <c r="U66" i="8"/>
  <c r="AE65" i="8"/>
  <c r="V65" i="8"/>
  <c r="U65" i="8"/>
  <c r="E148" i="5" s="1"/>
  <c r="AE64" i="8"/>
  <c r="V64" i="8"/>
  <c r="U64" i="8"/>
  <c r="AE63" i="8"/>
  <c r="V63" i="8"/>
  <c r="U63" i="8"/>
  <c r="E436" i="5" s="1"/>
  <c r="F436" i="5" s="1"/>
  <c r="AE62" i="8"/>
  <c r="V62" i="8"/>
  <c r="U62" i="8"/>
  <c r="AE61" i="8"/>
  <c r="V61" i="8"/>
  <c r="U61" i="8"/>
  <c r="E164" i="5" s="1"/>
  <c r="AE60" i="8"/>
  <c r="V60" i="8"/>
  <c r="U60" i="8"/>
  <c r="AE59" i="8"/>
  <c r="V59" i="8"/>
  <c r="U59" i="8"/>
  <c r="E160" i="5" s="1"/>
  <c r="F160" i="5" s="1"/>
  <c r="AE58" i="8"/>
  <c r="V58" i="8"/>
  <c r="U58" i="8"/>
  <c r="AE57" i="8"/>
  <c r="V57" i="8"/>
  <c r="U57" i="8"/>
  <c r="E188" i="5" s="1"/>
  <c r="AE56" i="8"/>
  <c r="V56" i="8"/>
  <c r="U56" i="8"/>
  <c r="AE55" i="8"/>
  <c r="I346" i="5" s="1"/>
  <c r="J346" i="5" s="1"/>
  <c r="V55" i="8"/>
  <c r="U55" i="8"/>
  <c r="E346" i="5" s="1"/>
  <c r="AE54" i="8"/>
  <c r="V54" i="8"/>
  <c r="U54" i="8"/>
  <c r="AE53" i="8"/>
  <c r="V53" i="8"/>
  <c r="U53" i="8"/>
  <c r="E34" i="5" s="1"/>
  <c r="AE52" i="8"/>
  <c r="V52" i="8"/>
  <c r="U52" i="8"/>
  <c r="AE51" i="8"/>
  <c r="V51" i="8"/>
  <c r="U51" i="8"/>
  <c r="E6" i="5" s="1"/>
  <c r="AE50" i="8"/>
  <c r="V50" i="8"/>
  <c r="U50" i="8"/>
  <c r="AE49" i="8"/>
  <c r="V49" i="8"/>
  <c r="U49" i="8"/>
  <c r="E48" i="5" s="1"/>
  <c r="AE48" i="8"/>
  <c r="V48" i="8"/>
  <c r="U48" i="8"/>
  <c r="AE47" i="8"/>
  <c r="V47" i="8"/>
  <c r="U47" i="8"/>
  <c r="E45" i="5" s="1"/>
  <c r="K45" i="5" s="1"/>
  <c r="AE46" i="8"/>
  <c r="V46" i="8"/>
  <c r="U46" i="8"/>
  <c r="E58" i="5" s="1"/>
  <c r="F58" i="5" s="1"/>
  <c r="AE45" i="8"/>
  <c r="V45" i="8"/>
  <c r="U45" i="8"/>
  <c r="E44" i="5" s="1"/>
  <c r="K44" i="5" s="1"/>
  <c r="AE44" i="8"/>
  <c r="V44" i="8"/>
  <c r="U44" i="8"/>
  <c r="E43" i="5" s="1"/>
  <c r="AE43" i="8"/>
  <c r="V43" i="8"/>
  <c r="U43" i="8"/>
  <c r="E41" i="5" s="1"/>
  <c r="AE42" i="8"/>
  <c r="I334" i="5" s="1"/>
  <c r="J334" i="5" s="1"/>
  <c r="V42" i="8"/>
  <c r="U42" i="8"/>
  <c r="E334" i="5" s="1"/>
  <c r="AE41" i="8"/>
  <c r="V41" i="8"/>
  <c r="U41" i="8"/>
  <c r="E24" i="5" s="1"/>
  <c r="AE40" i="8"/>
  <c r="V40" i="8"/>
  <c r="U40" i="8"/>
  <c r="AE39" i="8"/>
  <c r="V39" i="8"/>
  <c r="U39" i="8"/>
  <c r="E77" i="5" s="1"/>
  <c r="AE38" i="8"/>
  <c r="V38" i="8"/>
  <c r="U38" i="8"/>
  <c r="E76" i="5" s="1"/>
  <c r="K76" i="5" s="1"/>
  <c r="AE37" i="8"/>
  <c r="V37" i="8"/>
  <c r="U37" i="8"/>
  <c r="E75" i="5" s="1"/>
  <c r="AE36" i="8"/>
  <c r="V36" i="8"/>
  <c r="U36" i="8"/>
  <c r="E71" i="5" s="1"/>
  <c r="F71" i="5" s="1"/>
  <c r="AE35" i="8"/>
  <c r="V35" i="8"/>
  <c r="U35" i="8"/>
  <c r="E73" i="5" s="1"/>
  <c r="K73" i="5" s="1"/>
  <c r="AE34" i="8"/>
  <c r="V34" i="8"/>
  <c r="U34" i="8"/>
  <c r="AE33" i="8"/>
  <c r="V33" i="8"/>
  <c r="U33" i="8"/>
  <c r="E70" i="5" s="1"/>
  <c r="AE32" i="8"/>
  <c r="I419" i="5" s="1"/>
  <c r="V32" i="8"/>
  <c r="U32" i="8"/>
  <c r="E419" i="5" s="1"/>
  <c r="AE31" i="8"/>
  <c r="V31" i="8"/>
  <c r="U31" i="8"/>
  <c r="E418" i="5" s="1"/>
  <c r="AE30" i="8"/>
  <c r="V30" i="8"/>
  <c r="U30" i="8"/>
  <c r="E417" i="5" s="1"/>
  <c r="AE29" i="8"/>
  <c r="I416" i="5" s="1"/>
  <c r="J416" i="5" s="1"/>
  <c r="V29" i="8"/>
  <c r="U29" i="8"/>
  <c r="E416" i="5" s="1"/>
  <c r="AE28" i="8"/>
  <c r="I415" i="5" s="1"/>
  <c r="J415" i="5" s="1"/>
  <c r="V28" i="8"/>
  <c r="U28" i="8"/>
  <c r="E415" i="5" s="1"/>
  <c r="F415" i="5" s="1"/>
  <c r="AE27" i="8"/>
  <c r="I420" i="5" s="1"/>
  <c r="J420" i="5" s="1"/>
  <c r="V27" i="8"/>
  <c r="U27" i="8"/>
  <c r="E420" i="5" s="1"/>
  <c r="AE26" i="8"/>
  <c r="V26" i="8"/>
  <c r="U26" i="8"/>
  <c r="E74" i="5" s="1"/>
  <c r="AE25" i="8"/>
  <c r="V25" i="8"/>
  <c r="U25" i="8"/>
  <c r="E22" i="5" s="1"/>
  <c r="AE24" i="8"/>
  <c r="V24" i="8"/>
  <c r="U24" i="8"/>
  <c r="E51" i="5" s="1"/>
  <c r="F51" i="5" s="1"/>
  <c r="E52" i="5" s="1"/>
  <c r="K52" i="5" s="1"/>
  <c r="AE23" i="8"/>
  <c r="V23" i="8"/>
  <c r="U23" i="8"/>
  <c r="E318" i="5" s="1"/>
  <c r="K318" i="5" s="1"/>
  <c r="AE22" i="8"/>
  <c r="I317" i="5" s="1"/>
  <c r="J317" i="5" s="1"/>
  <c r="V22" i="8"/>
  <c r="U22" i="8"/>
  <c r="E317" i="5" s="1"/>
  <c r="F317" i="5" s="1"/>
  <c r="AE21" i="8"/>
  <c r="V21" i="8"/>
  <c r="U21" i="8"/>
  <c r="AE20" i="8"/>
  <c r="I315" i="5" s="1"/>
  <c r="J315" i="5" s="1"/>
  <c r="V20" i="8"/>
  <c r="U20" i="8"/>
  <c r="E315" i="5" s="1"/>
  <c r="F315" i="5" s="1"/>
  <c r="AE19" i="8"/>
  <c r="V19" i="8"/>
  <c r="U19" i="8"/>
  <c r="E187" i="5" s="1"/>
  <c r="AE18" i="8"/>
  <c r="V18" i="8"/>
  <c r="U18" i="8"/>
  <c r="E186" i="5" s="1"/>
  <c r="F186" i="5" s="1"/>
  <c r="AE17" i="8"/>
  <c r="V17" i="8"/>
  <c r="U17" i="8"/>
  <c r="E96" i="5" s="1"/>
  <c r="AE16" i="8"/>
  <c r="V16" i="8"/>
  <c r="U16" i="8"/>
  <c r="E324" i="5" s="1"/>
  <c r="AE15" i="8"/>
  <c r="V15" i="8"/>
  <c r="U15" i="8"/>
  <c r="AE14" i="8"/>
  <c r="V14" i="8"/>
  <c r="U14" i="8"/>
  <c r="E174" i="5" s="1"/>
  <c r="AE13" i="8"/>
  <c r="V13" i="8"/>
  <c r="U13" i="8"/>
  <c r="E347" i="5" s="1"/>
  <c r="AE12" i="8"/>
  <c r="V12" i="8"/>
  <c r="U12" i="8"/>
  <c r="E49" i="5" s="1"/>
  <c r="F49" i="5" s="1"/>
  <c r="AE11" i="8"/>
  <c r="V11" i="8"/>
  <c r="U11" i="8"/>
  <c r="E84" i="5" s="1"/>
  <c r="F84" i="5" s="1"/>
  <c r="AE10" i="8"/>
  <c r="V10" i="8"/>
  <c r="U10" i="8"/>
  <c r="E185" i="5" s="1"/>
  <c r="AE9" i="8"/>
  <c r="V9" i="8"/>
  <c r="U9" i="8"/>
  <c r="E345" i="5" s="1"/>
  <c r="AE8" i="8"/>
  <c r="I398" i="5" s="1"/>
  <c r="J398" i="5" s="1"/>
  <c r="V8" i="8"/>
  <c r="U8" i="8"/>
  <c r="AE7" i="8"/>
  <c r="I344" i="5" s="1"/>
  <c r="J344" i="5" s="1"/>
  <c r="V7" i="8"/>
  <c r="U7" i="8"/>
  <c r="E344" i="5" s="1"/>
  <c r="AE6" i="8"/>
  <c r="V6" i="8"/>
  <c r="U6" i="8"/>
  <c r="AE5" i="8"/>
  <c r="V5" i="8"/>
  <c r="U5" i="8"/>
  <c r="E181" i="3" s="1"/>
  <c r="D49" i="7"/>
  <c r="C49" i="7"/>
  <c r="B49" i="7"/>
  <c r="E49" i="7" s="1"/>
  <c r="E48" i="7"/>
  <c r="D47" i="7"/>
  <c r="C47" i="7"/>
  <c r="C50" i="7" s="1"/>
  <c r="B47" i="7"/>
  <c r="E46" i="7"/>
  <c r="E45" i="7"/>
  <c r="E44" i="7"/>
  <c r="D42" i="7"/>
  <c r="C42" i="7"/>
  <c r="B42" i="7"/>
  <c r="D41" i="7"/>
  <c r="C41" i="7"/>
  <c r="B41" i="7"/>
  <c r="D40" i="7"/>
  <c r="C40" i="7"/>
  <c r="E40" i="7" s="1"/>
  <c r="B40" i="7"/>
  <c r="E39" i="7"/>
  <c r="E38" i="7"/>
  <c r="E37" i="7"/>
  <c r="E36" i="7"/>
  <c r="E35" i="7"/>
  <c r="E34" i="7"/>
  <c r="E33" i="7"/>
  <c r="D31" i="7"/>
  <c r="C31" i="7"/>
  <c r="B31" i="7"/>
  <c r="D30" i="7"/>
  <c r="C30" i="7"/>
  <c r="B30" i="7"/>
  <c r="D29" i="7"/>
  <c r="D32" i="7" s="1"/>
  <c r="C29" i="7"/>
  <c r="B29" i="7"/>
  <c r="B32" i="7" s="1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G4" i="6"/>
  <c r="F4" i="6"/>
  <c r="E4" i="6"/>
  <c r="H447" i="5"/>
  <c r="F71" i="4" s="1"/>
  <c r="G8" i="5" s="1"/>
  <c r="H8" i="5" s="1"/>
  <c r="H446" i="5"/>
  <c r="F446" i="5"/>
  <c r="F447" i="5" s="1"/>
  <c r="E71" i="4" s="1"/>
  <c r="E8" i="5" s="1"/>
  <c r="F8" i="5" s="1"/>
  <c r="H441" i="5"/>
  <c r="H442" i="5" s="1"/>
  <c r="F441" i="5"/>
  <c r="F442" i="5" s="1"/>
  <c r="E70" i="4" s="1"/>
  <c r="I436" i="5"/>
  <c r="J436" i="5" s="1"/>
  <c r="J437" i="5" s="1"/>
  <c r="G69" i="4" s="1"/>
  <c r="I432" i="5" s="1"/>
  <c r="J432" i="5" s="1"/>
  <c r="H436" i="5"/>
  <c r="H437" i="5" s="1"/>
  <c r="F69" i="4" s="1"/>
  <c r="G432" i="5" s="1"/>
  <c r="H432" i="5" s="1"/>
  <c r="G436" i="5"/>
  <c r="J427" i="5"/>
  <c r="H427" i="5"/>
  <c r="G426" i="5"/>
  <c r="H426" i="5" s="1"/>
  <c r="E426" i="5"/>
  <c r="F426" i="5" s="1"/>
  <c r="I425" i="5"/>
  <c r="J425" i="5" s="1"/>
  <c r="G425" i="5"/>
  <c r="H425" i="5" s="1"/>
  <c r="F425" i="5"/>
  <c r="E425" i="5"/>
  <c r="H420" i="5"/>
  <c r="G420" i="5"/>
  <c r="J419" i="5"/>
  <c r="H419" i="5"/>
  <c r="G419" i="5"/>
  <c r="I418" i="5"/>
  <c r="J418" i="5" s="1"/>
  <c r="G418" i="5"/>
  <c r="H418" i="5" s="1"/>
  <c r="I417" i="5"/>
  <c r="J417" i="5" s="1"/>
  <c r="H417" i="5"/>
  <c r="G417" i="5"/>
  <c r="G416" i="5"/>
  <c r="H416" i="5" s="1"/>
  <c r="G415" i="5"/>
  <c r="H415" i="5" s="1"/>
  <c r="I411" i="5"/>
  <c r="J411" i="5" s="1"/>
  <c r="J412" i="5" s="1"/>
  <c r="G65" i="4" s="1"/>
  <c r="I421" i="5" s="1"/>
  <c r="J421" i="5" s="1"/>
  <c r="G411" i="5"/>
  <c r="H411" i="5" s="1"/>
  <c r="E411" i="5"/>
  <c r="F411" i="5" s="1"/>
  <c r="I410" i="5"/>
  <c r="J410" i="5" s="1"/>
  <c r="H410" i="5"/>
  <c r="H412" i="5" s="1"/>
  <c r="F65" i="4" s="1"/>
  <c r="G421" i="5" s="1"/>
  <c r="H421" i="5" s="1"/>
  <c r="G410" i="5"/>
  <c r="E410" i="5"/>
  <c r="I406" i="5"/>
  <c r="J406" i="5" s="1"/>
  <c r="H406" i="5"/>
  <c r="G406" i="5"/>
  <c r="K406" i="5" s="1"/>
  <c r="E406" i="5"/>
  <c r="F406" i="5" s="1"/>
  <c r="J405" i="5"/>
  <c r="H405" i="5"/>
  <c r="G404" i="5"/>
  <c r="H404" i="5" s="1"/>
  <c r="I403" i="5"/>
  <c r="J403" i="5" s="1"/>
  <c r="G403" i="5"/>
  <c r="F403" i="5"/>
  <c r="E403" i="5"/>
  <c r="J399" i="5"/>
  <c r="H399" i="5"/>
  <c r="G398" i="5"/>
  <c r="H398" i="5" s="1"/>
  <c r="I397" i="5"/>
  <c r="J397" i="5" s="1"/>
  <c r="G397" i="5"/>
  <c r="H397" i="5" s="1"/>
  <c r="F397" i="5"/>
  <c r="E397" i="5"/>
  <c r="J396" i="5"/>
  <c r="H396" i="5"/>
  <c r="G396" i="5"/>
  <c r="E396" i="5"/>
  <c r="J392" i="5"/>
  <c r="H392" i="5"/>
  <c r="G391" i="5"/>
  <c r="H391" i="5" s="1"/>
  <c r="J390" i="5"/>
  <c r="I390" i="5"/>
  <c r="G390" i="5"/>
  <c r="H390" i="5" s="1"/>
  <c r="F390" i="5"/>
  <c r="E390" i="5"/>
  <c r="I389" i="5"/>
  <c r="J389" i="5" s="1"/>
  <c r="H389" i="5"/>
  <c r="G389" i="5"/>
  <c r="F389" i="5"/>
  <c r="L389" i="5" s="1"/>
  <c r="E389" i="5"/>
  <c r="J385" i="5"/>
  <c r="H385" i="5"/>
  <c r="I384" i="5"/>
  <c r="J384" i="5" s="1"/>
  <c r="G384" i="5"/>
  <c r="H384" i="5" s="1"/>
  <c r="J383" i="5"/>
  <c r="G383" i="5"/>
  <c r="H383" i="5" s="1"/>
  <c r="E383" i="5"/>
  <c r="I382" i="5"/>
  <c r="J382" i="5" s="1"/>
  <c r="G382" i="5"/>
  <c r="H382" i="5" s="1"/>
  <c r="F382" i="5"/>
  <c r="E382" i="5"/>
  <c r="J378" i="5"/>
  <c r="H378" i="5"/>
  <c r="I377" i="5"/>
  <c r="J377" i="5" s="1"/>
  <c r="G377" i="5"/>
  <c r="H377" i="5" s="1"/>
  <c r="I376" i="5"/>
  <c r="J376" i="5" s="1"/>
  <c r="H376" i="5"/>
  <c r="G376" i="5"/>
  <c r="F376" i="5"/>
  <c r="L376" i="5" s="1"/>
  <c r="E376" i="5"/>
  <c r="I375" i="5"/>
  <c r="J375" i="5" s="1"/>
  <c r="G375" i="5"/>
  <c r="H375" i="5" s="1"/>
  <c r="H379" i="5" s="1"/>
  <c r="E375" i="5"/>
  <c r="J371" i="5"/>
  <c r="H371" i="5"/>
  <c r="G370" i="5"/>
  <c r="H370" i="5" s="1"/>
  <c r="I369" i="5"/>
  <c r="J369" i="5" s="1"/>
  <c r="G369" i="5"/>
  <c r="H369" i="5" s="1"/>
  <c r="F369" i="5"/>
  <c r="E369" i="5"/>
  <c r="I368" i="5"/>
  <c r="J368" i="5" s="1"/>
  <c r="H368" i="5"/>
  <c r="G368" i="5"/>
  <c r="E368" i="5"/>
  <c r="L364" i="5"/>
  <c r="I364" i="5"/>
  <c r="J364" i="5" s="1"/>
  <c r="H364" i="5"/>
  <c r="G364" i="5"/>
  <c r="K364" i="5" s="1"/>
  <c r="E364" i="5"/>
  <c r="F364" i="5" s="1"/>
  <c r="J363" i="5"/>
  <c r="I363" i="5"/>
  <c r="G363" i="5"/>
  <c r="H363" i="5" s="1"/>
  <c r="H365" i="5" s="1"/>
  <c r="F58" i="4" s="1"/>
  <c r="E363" i="5"/>
  <c r="J359" i="5"/>
  <c r="H359" i="5"/>
  <c r="J358" i="5"/>
  <c r="I358" i="5"/>
  <c r="G358" i="5"/>
  <c r="K358" i="5" s="1"/>
  <c r="E358" i="5"/>
  <c r="F358" i="5" s="1"/>
  <c r="I357" i="5"/>
  <c r="J357" i="5" s="1"/>
  <c r="J360" i="5" s="1"/>
  <c r="G57" i="4" s="1"/>
  <c r="I189" i="5" s="1"/>
  <c r="J189" i="5" s="1"/>
  <c r="G357" i="5"/>
  <c r="E357" i="5"/>
  <c r="F357" i="5" s="1"/>
  <c r="J353" i="5"/>
  <c r="H353" i="5"/>
  <c r="I352" i="5"/>
  <c r="J352" i="5" s="1"/>
  <c r="G352" i="5"/>
  <c r="H352" i="5" s="1"/>
  <c r="E352" i="5"/>
  <c r="F352" i="5" s="1"/>
  <c r="I351" i="5"/>
  <c r="J351" i="5" s="1"/>
  <c r="G351" i="5"/>
  <c r="H351" i="5" s="1"/>
  <c r="H354" i="5" s="1"/>
  <c r="F56" i="4" s="1"/>
  <c r="G98" i="5" s="1"/>
  <c r="H98" i="5" s="1"/>
  <c r="F351" i="5"/>
  <c r="E351" i="5"/>
  <c r="I347" i="5"/>
  <c r="J347" i="5" s="1"/>
  <c r="G347" i="5"/>
  <c r="H347" i="5" s="1"/>
  <c r="G346" i="5"/>
  <c r="H346" i="5" s="1"/>
  <c r="I345" i="5"/>
  <c r="J345" i="5" s="1"/>
  <c r="G345" i="5"/>
  <c r="H345" i="5" s="1"/>
  <c r="H344" i="5"/>
  <c r="H348" i="5" s="1"/>
  <c r="F55" i="4" s="1"/>
  <c r="G112" i="5" s="1"/>
  <c r="H112" i="5" s="1"/>
  <c r="H115" i="5" s="1"/>
  <c r="F18" i="4" s="1"/>
  <c r="G41" i="3" s="1"/>
  <c r="H41" i="3" s="1"/>
  <c r="G344" i="5"/>
  <c r="I340" i="5"/>
  <c r="J340" i="5" s="1"/>
  <c r="H340" i="5"/>
  <c r="G340" i="5"/>
  <c r="E340" i="5"/>
  <c r="I339" i="5"/>
  <c r="J339" i="5" s="1"/>
  <c r="G339" i="5"/>
  <c r="H339" i="5" s="1"/>
  <c r="H341" i="5" s="1"/>
  <c r="F54" i="4" s="1"/>
  <c r="G53" i="5" s="1"/>
  <c r="H53" i="5" s="1"/>
  <c r="E339" i="5"/>
  <c r="G334" i="5"/>
  <c r="H334" i="5" s="1"/>
  <c r="I330" i="5"/>
  <c r="J330" i="5" s="1"/>
  <c r="J331" i="5" s="1"/>
  <c r="G330" i="5"/>
  <c r="H330" i="5" s="1"/>
  <c r="H331" i="5" s="1"/>
  <c r="E330" i="5"/>
  <c r="I326" i="5"/>
  <c r="J326" i="5" s="1"/>
  <c r="G326" i="5"/>
  <c r="H326" i="5" s="1"/>
  <c r="E326" i="5"/>
  <c r="I325" i="5"/>
  <c r="J325" i="5" s="1"/>
  <c r="G325" i="5"/>
  <c r="H325" i="5" s="1"/>
  <c r="F325" i="5"/>
  <c r="E325" i="5"/>
  <c r="J324" i="5"/>
  <c r="J327" i="5" s="1"/>
  <c r="G51" i="4" s="1"/>
  <c r="I64" i="5" s="1"/>
  <c r="J64" i="5" s="1"/>
  <c r="I324" i="5"/>
  <c r="G324" i="5"/>
  <c r="H324" i="5" s="1"/>
  <c r="J319" i="5"/>
  <c r="I319" i="5"/>
  <c r="G319" i="5"/>
  <c r="H319" i="5" s="1"/>
  <c r="E319" i="5"/>
  <c r="I318" i="5"/>
  <c r="J318" i="5" s="1"/>
  <c r="G318" i="5"/>
  <c r="H318" i="5" s="1"/>
  <c r="H317" i="5"/>
  <c r="G317" i="5"/>
  <c r="I316" i="5"/>
  <c r="J316" i="5" s="1"/>
  <c r="G316" i="5"/>
  <c r="H316" i="5" s="1"/>
  <c r="H315" i="5"/>
  <c r="G315" i="5"/>
  <c r="H311" i="5"/>
  <c r="F311" i="5"/>
  <c r="I310" i="5"/>
  <c r="J310" i="5" s="1"/>
  <c r="G310" i="5"/>
  <c r="H310" i="5" s="1"/>
  <c r="E310" i="5"/>
  <c r="J309" i="5"/>
  <c r="I309" i="5"/>
  <c r="G309" i="5"/>
  <c r="H309" i="5" s="1"/>
  <c r="F309" i="5"/>
  <c r="E309" i="5"/>
  <c r="J305" i="5"/>
  <c r="I305" i="5"/>
  <c r="G305" i="5"/>
  <c r="H305" i="5" s="1"/>
  <c r="H306" i="5" s="1"/>
  <c r="E305" i="5"/>
  <c r="I304" i="5"/>
  <c r="G304" i="5"/>
  <c r="H304" i="5" s="1"/>
  <c r="E304" i="5"/>
  <c r="F304" i="5" s="1"/>
  <c r="J300" i="5"/>
  <c r="H300" i="5"/>
  <c r="J299" i="5"/>
  <c r="J301" i="5" s="1"/>
  <c r="G47" i="4" s="1"/>
  <c r="I299" i="5"/>
  <c r="G299" i="5"/>
  <c r="H299" i="5" s="1"/>
  <c r="F299" i="5"/>
  <c r="E299" i="5"/>
  <c r="I298" i="5"/>
  <c r="J298" i="5" s="1"/>
  <c r="H298" i="5"/>
  <c r="G298" i="5"/>
  <c r="E298" i="5"/>
  <c r="J294" i="5"/>
  <c r="H294" i="5"/>
  <c r="L293" i="5"/>
  <c r="J293" i="5"/>
  <c r="I293" i="5"/>
  <c r="G293" i="5"/>
  <c r="H293" i="5" s="1"/>
  <c r="F293" i="5"/>
  <c r="E293" i="5"/>
  <c r="J292" i="5"/>
  <c r="I292" i="5"/>
  <c r="G292" i="5"/>
  <c r="H292" i="5" s="1"/>
  <c r="E294" i="5" s="1"/>
  <c r="E292" i="5"/>
  <c r="J288" i="5"/>
  <c r="H288" i="5"/>
  <c r="I286" i="5"/>
  <c r="J286" i="5" s="1"/>
  <c r="H286" i="5"/>
  <c r="G286" i="5"/>
  <c r="E286" i="5"/>
  <c r="I285" i="5"/>
  <c r="J285" i="5" s="1"/>
  <c r="G285" i="5"/>
  <c r="H285" i="5" s="1"/>
  <c r="E288" i="5" s="1"/>
  <c r="F285" i="5"/>
  <c r="E285" i="5"/>
  <c r="J281" i="5"/>
  <c r="H281" i="5"/>
  <c r="I279" i="5"/>
  <c r="J279" i="5" s="1"/>
  <c r="G279" i="5"/>
  <c r="E279" i="5"/>
  <c r="F279" i="5" s="1"/>
  <c r="I278" i="5"/>
  <c r="J278" i="5" s="1"/>
  <c r="G278" i="5"/>
  <c r="H278" i="5" s="1"/>
  <c r="E278" i="5"/>
  <c r="F278" i="5" s="1"/>
  <c r="J274" i="5"/>
  <c r="H274" i="5"/>
  <c r="I273" i="5"/>
  <c r="J273" i="5" s="1"/>
  <c r="G273" i="5"/>
  <c r="F273" i="5"/>
  <c r="E273" i="5"/>
  <c r="I272" i="5"/>
  <c r="J272" i="5" s="1"/>
  <c r="H272" i="5"/>
  <c r="G272" i="5"/>
  <c r="E272" i="5"/>
  <c r="I267" i="5"/>
  <c r="J267" i="5" s="1"/>
  <c r="G267" i="5"/>
  <c r="H267" i="5" s="1"/>
  <c r="E267" i="5"/>
  <c r="F267" i="5" s="1"/>
  <c r="I266" i="5"/>
  <c r="J266" i="5" s="1"/>
  <c r="G266" i="5"/>
  <c r="H266" i="5" s="1"/>
  <c r="E266" i="5"/>
  <c r="F266" i="5" s="1"/>
  <c r="J262" i="5"/>
  <c r="H262" i="5"/>
  <c r="I261" i="5"/>
  <c r="G261" i="5"/>
  <c r="H261" i="5" s="1"/>
  <c r="E262" i="5" s="1"/>
  <c r="F262" i="5" s="1"/>
  <c r="L262" i="5" s="1"/>
  <c r="E261" i="5"/>
  <c r="F261" i="5" s="1"/>
  <c r="J257" i="5"/>
  <c r="H257" i="5"/>
  <c r="J256" i="5"/>
  <c r="I256" i="5"/>
  <c r="G256" i="5"/>
  <c r="H256" i="5" s="1"/>
  <c r="E256" i="5"/>
  <c r="K256" i="5" s="1"/>
  <c r="I255" i="5"/>
  <c r="J255" i="5" s="1"/>
  <c r="H255" i="5"/>
  <c r="H258" i="5" s="1"/>
  <c r="F40" i="4" s="1"/>
  <c r="G255" i="5"/>
  <c r="E255" i="5"/>
  <c r="J251" i="5"/>
  <c r="H251" i="5"/>
  <c r="K250" i="5"/>
  <c r="J250" i="5"/>
  <c r="I250" i="5"/>
  <c r="H250" i="5"/>
  <c r="G250" i="5"/>
  <c r="E250" i="5"/>
  <c r="F250" i="5" s="1"/>
  <c r="H246" i="5"/>
  <c r="F246" i="5"/>
  <c r="I245" i="5"/>
  <c r="J245" i="5" s="1"/>
  <c r="H245" i="5"/>
  <c r="G245" i="5"/>
  <c r="F245" i="5"/>
  <c r="F247" i="5" s="1"/>
  <c r="E38" i="4" s="1"/>
  <c r="E141" i="3" s="1"/>
  <c r="F141" i="3" s="1"/>
  <c r="E245" i="5"/>
  <c r="J244" i="5"/>
  <c r="I244" i="5"/>
  <c r="G244" i="5"/>
  <c r="H244" i="5" s="1"/>
  <c r="E244" i="5"/>
  <c r="F244" i="5" s="1"/>
  <c r="I240" i="5"/>
  <c r="J240" i="5" s="1"/>
  <c r="G240" i="5"/>
  <c r="H240" i="5" s="1"/>
  <c r="E240" i="5"/>
  <c r="F240" i="5" s="1"/>
  <c r="J239" i="5"/>
  <c r="J241" i="5" s="1"/>
  <c r="G37" i="4" s="1"/>
  <c r="I140" i="3" s="1"/>
  <c r="J140" i="3" s="1"/>
  <c r="I239" i="5"/>
  <c r="G239" i="5"/>
  <c r="H239" i="5" s="1"/>
  <c r="H241" i="5" s="1"/>
  <c r="F37" i="4" s="1"/>
  <c r="E239" i="5"/>
  <c r="J235" i="5"/>
  <c r="I235" i="5"/>
  <c r="G235" i="5"/>
  <c r="F235" i="5"/>
  <c r="E235" i="5"/>
  <c r="K234" i="5"/>
  <c r="I234" i="5"/>
  <c r="J234" i="5" s="1"/>
  <c r="G234" i="5"/>
  <c r="H234" i="5" s="1"/>
  <c r="E234" i="5"/>
  <c r="F234" i="5" s="1"/>
  <c r="F236" i="5" s="1"/>
  <c r="E36" i="4" s="1"/>
  <c r="H230" i="5"/>
  <c r="F230" i="5"/>
  <c r="I229" i="5"/>
  <c r="J229" i="5" s="1"/>
  <c r="G229" i="5"/>
  <c r="F229" i="5"/>
  <c r="E229" i="5"/>
  <c r="J228" i="5"/>
  <c r="I228" i="5"/>
  <c r="G228" i="5"/>
  <c r="H228" i="5" s="1"/>
  <c r="E228" i="5"/>
  <c r="F228" i="5" s="1"/>
  <c r="H224" i="5"/>
  <c r="F224" i="5"/>
  <c r="I223" i="5"/>
  <c r="J223" i="5" s="1"/>
  <c r="G223" i="5"/>
  <c r="H223" i="5" s="1"/>
  <c r="E223" i="5"/>
  <c r="F223" i="5" s="1"/>
  <c r="J222" i="5"/>
  <c r="I222" i="5"/>
  <c r="H222" i="5"/>
  <c r="I224" i="5" s="1"/>
  <c r="K224" i="5" s="1"/>
  <c r="G222" i="5"/>
  <c r="E222" i="5"/>
  <c r="F222" i="5" s="1"/>
  <c r="J218" i="5"/>
  <c r="H218" i="5"/>
  <c r="I217" i="5"/>
  <c r="J217" i="5" s="1"/>
  <c r="G217" i="5"/>
  <c r="E217" i="5"/>
  <c r="F217" i="5" s="1"/>
  <c r="I216" i="5"/>
  <c r="J216" i="5" s="1"/>
  <c r="G216" i="5"/>
  <c r="H216" i="5" s="1"/>
  <c r="E216" i="5"/>
  <c r="J212" i="5"/>
  <c r="H212" i="5"/>
  <c r="I211" i="5"/>
  <c r="J211" i="5" s="1"/>
  <c r="G211" i="5"/>
  <c r="H211" i="5" s="1"/>
  <c r="E211" i="5"/>
  <c r="I210" i="5"/>
  <c r="J210" i="5" s="1"/>
  <c r="J213" i="5" s="1"/>
  <c r="G210" i="5"/>
  <c r="H210" i="5" s="1"/>
  <c r="E210" i="5"/>
  <c r="F210" i="5" s="1"/>
  <c r="J206" i="5"/>
  <c r="H206" i="5"/>
  <c r="I205" i="5"/>
  <c r="J205" i="5" s="1"/>
  <c r="H205" i="5"/>
  <c r="G205" i="5"/>
  <c r="E205" i="5"/>
  <c r="F205" i="5" s="1"/>
  <c r="L205" i="5" s="1"/>
  <c r="J204" i="5"/>
  <c r="I204" i="5"/>
  <c r="G204" i="5"/>
  <c r="F204" i="5"/>
  <c r="E204" i="5"/>
  <c r="J200" i="5"/>
  <c r="H200" i="5"/>
  <c r="I199" i="5"/>
  <c r="J199" i="5" s="1"/>
  <c r="G199" i="5"/>
  <c r="H199" i="5" s="1"/>
  <c r="E200" i="5" s="1"/>
  <c r="E199" i="5"/>
  <c r="I198" i="5"/>
  <c r="H198" i="5"/>
  <c r="G198" i="5"/>
  <c r="E198" i="5"/>
  <c r="F198" i="5" s="1"/>
  <c r="K194" i="5"/>
  <c r="I194" i="5"/>
  <c r="J194" i="5" s="1"/>
  <c r="H194" i="5"/>
  <c r="G194" i="5"/>
  <c r="E194" i="5"/>
  <c r="F194" i="5" s="1"/>
  <c r="K193" i="5"/>
  <c r="I193" i="5"/>
  <c r="J193" i="5" s="1"/>
  <c r="J195" i="5" s="1"/>
  <c r="G193" i="5"/>
  <c r="H193" i="5" s="1"/>
  <c r="E193" i="5"/>
  <c r="F193" i="5" s="1"/>
  <c r="J188" i="5"/>
  <c r="I188" i="5"/>
  <c r="G188" i="5"/>
  <c r="H188" i="5" s="1"/>
  <c r="I187" i="5"/>
  <c r="J187" i="5" s="1"/>
  <c r="G187" i="5"/>
  <c r="H187" i="5" s="1"/>
  <c r="I186" i="5"/>
  <c r="J186" i="5" s="1"/>
  <c r="H186" i="5"/>
  <c r="G186" i="5"/>
  <c r="I185" i="5"/>
  <c r="J185" i="5" s="1"/>
  <c r="G185" i="5"/>
  <c r="H185" i="5" s="1"/>
  <c r="I184" i="5"/>
  <c r="J184" i="5" s="1"/>
  <c r="H184" i="5"/>
  <c r="G184" i="5"/>
  <c r="E184" i="5"/>
  <c r="I183" i="5"/>
  <c r="J183" i="5" s="1"/>
  <c r="G183" i="5"/>
  <c r="H183" i="5" s="1"/>
  <c r="I177" i="5"/>
  <c r="J177" i="5" s="1"/>
  <c r="G177" i="5"/>
  <c r="H177" i="5" s="1"/>
  <c r="E177" i="5"/>
  <c r="I176" i="5"/>
  <c r="J176" i="5" s="1"/>
  <c r="G176" i="5"/>
  <c r="H176" i="5" s="1"/>
  <c r="I175" i="5"/>
  <c r="J175" i="5" s="1"/>
  <c r="G175" i="5"/>
  <c r="H175" i="5" s="1"/>
  <c r="I174" i="5"/>
  <c r="J174" i="5" s="1"/>
  <c r="H174" i="5"/>
  <c r="G174" i="5"/>
  <c r="I169" i="5"/>
  <c r="J169" i="5" s="1"/>
  <c r="H169" i="5"/>
  <c r="G169" i="5"/>
  <c r="E169" i="5"/>
  <c r="J168" i="5"/>
  <c r="I168" i="5"/>
  <c r="G168" i="5"/>
  <c r="H168" i="5" s="1"/>
  <c r="I164" i="5"/>
  <c r="J164" i="5" s="1"/>
  <c r="G164" i="5"/>
  <c r="H164" i="5" s="1"/>
  <c r="I163" i="5"/>
  <c r="J163" i="5" s="1"/>
  <c r="H163" i="5"/>
  <c r="G163" i="5"/>
  <c r="E163" i="5"/>
  <c r="K162" i="5"/>
  <c r="I162" i="5"/>
  <c r="J162" i="5" s="1"/>
  <c r="H162" i="5"/>
  <c r="G162" i="5"/>
  <c r="E162" i="5"/>
  <c r="F162" i="5" s="1"/>
  <c r="J161" i="5"/>
  <c r="I161" i="5"/>
  <c r="G161" i="5"/>
  <c r="H161" i="5" s="1"/>
  <c r="E161" i="5"/>
  <c r="I160" i="5"/>
  <c r="G160" i="5"/>
  <c r="H160" i="5" s="1"/>
  <c r="I159" i="5"/>
  <c r="J159" i="5" s="1"/>
  <c r="G159" i="5"/>
  <c r="H159" i="5" s="1"/>
  <c r="E159" i="5"/>
  <c r="F159" i="5" s="1"/>
  <c r="I158" i="5"/>
  <c r="J158" i="5" s="1"/>
  <c r="G158" i="5"/>
  <c r="H158" i="5" s="1"/>
  <c r="E158" i="5"/>
  <c r="I157" i="5"/>
  <c r="H157" i="5"/>
  <c r="G157" i="5"/>
  <c r="E157" i="5"/>
  <c r="F157" i="5" s="1"/>
  <c r="J152" i="5"/>
  <c r="H152" i="5"/>
  <c r="I151" i="5"/>
  <c r="J151" i="5" s="1"/>
  <c r="G151" i="5"/>
  <c r="H151" i="5" s="1"/>
  <c r="E151" i="5"/>
  <c r="I150" i="5"/>
  <c r="J150" i="5" s="1"/>
  <c r="G150" i="5"/>
  <c r="E150" i="5"/>
  <c r="F150" i="5" s="1"/>
  <c r="I149" i="5"/>
  <c r="J149" i="5" s="1"/>
  <c r="G149" i="5"/>
  <c r="H149" i="5" s="1"/>
  <c r="E149" i="5"/>
  <c r="I148" i="5"/>
  <c r="J148" i="5" s="1"/>
  <c r="H148" i="5"/>
  <c r="G148" i="5"/>
  <c r="J144" i="5"/>
  <c r="H144" i="5"/>
  <c r="K143" i="5"/>
  <c r="I143" i="5"/>
  <c r="J143" i="5" s="1"/>
  <c r="H143" i="5"/>
  <c r="G143" i="5"/>
  <c r="E143" i="5"/>
  <c r="F143" i="5" s="1"/>
  <c r="I142" i="5"/>
  <c r="J142" i="5" s="1"/>
  <c r="G142" i="5"/>
  <c r="H142" i="5" s="1"/>
  <c r="E142" i="5"/>
  <c r="I141" i="5"/>
  <c r="J141" i="5" s="1"/>
  <c r="H141" i="5"/>
  <c r="G141" i="5"/>
  <c r="E141" i="5"/>
  <c r="F141" i="5" s="1"/>
  <c r="L141" i="5" s="1"/>
  <c r="I140" i="5"/>
  <c r="J140" i="5" s="1"/>
  <c r="G140" i="5"/>
  <c r="H140" i="5" s="1"/>
  <c r="H145" i="5" s="1"/>
  <c r="F23" i="4" s="1"/>
  <c r="E140" i="5"/>
  <c r="I135" i="5"/>
  <c r="J135" i="5" s="1"/>
  <c r="G135" i="5"/>
  <c r="H135" i="5" s="1"/>
  <c r="J130" i="5"/>
  <c r="I130" i="5"/>
  <c r="G130" i="5"/>
  <c r="H130" i="5" s="1"/>
  <c r="I125" i="5"/>
  <c r="J125" i="5" s="1"/>
  <c r="H125" i="5"/>
  <c r="G125" i="5"/>
  <c r="E125" i="5"/>
  <c r="F125" i="5" s="1"/>
  <c r="J124" i="5"/>
  <c r="I124" i="5"/>
  <c r="G124" i="5"/>
  <c r="H124" i="5" s="1"/>
  <c r="E124" i="5"/>
  <c r="I120" i="5"/>
  <c r="J120" i="5" s="1"/>
  <c r="G120" i="5"/>
  <c r="H120" i="5" s="1"/>
  <c r="E120" i="5"/>
  <c r="J119" i="5"/>
  <c r="I119" i="5"/>
  <c r="G119" i="5"/>
  <c r="H119" i="5" s="1"/>
  <c r="F119" i="5"/>
  <c r="E119" i="5"/>
  <c r="I118" i="5"/>
  <c r="J118" i="5" s="1"/>
  <c r="J121" i="5" s="1"/>
  <c r="G19" i="4" s="1"/>
  <c r="H118" i="5"/>
  <c r="G118" i="5"/>
  <c r="E118" i="5"/>
  <c r="J114" i="5"/>
  <c r="H114" i="5"/>
  <c r="J113" i="5"/>
  <c r="I113" i="5"/>
  <c r="G113" i="5"/>
  <c r="H113" i="5" s="1"/>
  <c r="E114" i="5" s="1"/>
  <c r="F114" i="5" s="1"/>
  <c r="L114" i="5" s="1"/>
  <c r="E113" i="5"/>
  <c r="F113" i="5" s="1"/>
  <c r="J104" i="5"/>
  <c r="H104" i="5"/>
  <c r="I103" i="5"/>
  <c r="J103" i="5" s="1"/>
  <c r="G103" i="5"/>
  <c r="H103" i="5" s="1"/>
  <c r="E103" i="5"/>
  <c r="I102" i="5"/>
  <c r="J102" i="5" s="1"/>
  <c r="G102" i="5"/>
  <c r="H102" i="5" s="1"/>
  <c r="E102" i="5"/>
  <c r="F102" i="5" s="1"/>
  <c r="J97" i="5"/>
  <c r="H97" i="5"/>
  <c r="I96" i="5"/>
  <c r="J96" i="5" s="1"/>
  <c r="G96" i="5"/>
  <c r="H96" i="5" s="1"/>
  <c r="J92" i="5"/>
  <c r="I92" i="5"/>
  <c r="G92" i="5"/>
  <c r="H92" i="5" s="1"/>
  <c r="H93" i="5" s="1"/>
  <c r="F14" i="4" s="1"/>
  <c r="E92" i="5"/>
  <c r="F92" i="5" s="1"/>
  <c r="F93" i="5" s="1"/>
  <c r="I88" i="5"/>
  <c r="J88" i="5" s="1"/>
  <c r="J89" i="5" s="1"/>
  <c r="G13" i="4" s="1"/>
  <c r="I17" i="3" s="1"/>
  <c r="J17" i="3" s="1"/>
  <c r="G88" i="5"/>
  <c r="H88" i="5" s="1"/>
  <c r="H89" i="5" s="1"/>
  <c r="E88" i="5"/>
  <c r="F88" i="5" s="1"/>
  <c r="F89" i="5" s="1"/>
  <c r="I84" i="5"/>
  <c r="J84" i="5" s="1"/>
  <c r="G84" i="5"/>
  <c r="H84" i="5" s="1"/>
  <c r="J83" i="5"/>
  <c r="F83" i="5"/>
  <c r="I77" i="5"/>
  <c r="J77" i="5" s="1"/>
  <c r="G77" i="5"/>
  <c r="H77" i="5" s="1"/>
  <c r="I76" i="5"/>
  <c r="J76" i="5" s="1"/>
  <c r="G76" i="5"/>
  <c r="H76" i="5" s="1"/>
  <c r="I75" i="5"/>
  <c r="J75" i="5" s="1"/>
  <c r="G75" i="5"/>
  <c r="H75" i="5" s="1"/>
  <c r="I74" i="5"/>
  <c r="J74" i="5" s="1"/>
  <c r="G74" i="5"/>
  <c r="H74" i="5" s="1"/>
  <c r="I73" i="5"/>
  <c r="J73" i="5" s="1"/>
  <c r="H73" i="5"/>
  <c r="G73" i="5"/>
  <c r="J72" i="5"/>
  <c r="I72" i="5"/>
  <c r="G72" i="5"/>
  <c r="H72" i="5" s="1"/>
  <c r="F72" i="5"/>
  <c r="E72" i="5"/>
  <c r="K71" i="5"/>
  <c r="J71" i="5"/>
  <c r="I71" i="5"/>
  <c r="G71" i="5"/>
  <c r="H71" i="5" s="1"/>
  <c r="J70" i="5"/>
  <c r="I70" i="5"/>
  <c r="G70" i="5"/>
  <c r="H70" i="5" s="1"/>
  <c r="I69" i="5"/>
  <c r="J69" i="5" s="1"/>
  <c r="G69" i="5"/>
  <c r="H69" i="5" s="1"/>
  <c r="E69" i="5"/>
  <c r="I68" i="5"/>
  <c r="J68" i="5" s="1"/>
  <c r="G68" i="5"/>
  <c r="H68" i="5" s="1"/>
  <c r="E68" i="5"/>
  <c r="J59" i="5"/>
  <c r="J60" i="5" s="1"/>
  <c r="G9" i="4" s="1"/>
  <c r="H59" i="5"/>
  <c r="H60" i="5" s="1"/>
  <c r="F9" i="4" s="1"/>
  <c r="G11" i="3" s="1"/>
  <c r="H11" i="3" s="1"/>
  <c r="I58" i="5"/>
  <c r="J58" i="5" s="1"/>
  <c r="H58" i="5"/>
  <c r="L58" i="5" s="1"/>
  <c r="G58" i="5"/>
  <c r="I57" i="5"/>
  <c r="H57" i="5"/>
  <c r="G57" i="5"/>
  <c r="E57" i="5"/>
  <c r="F57" i="5" s="1"/>
  <c r="E59" i="5" s="1"/>
  <c r="J52" i="5"/>
  <c r="H52" i="5"/>
  <c r="I51" i="5"/>
  <c r="J51" i="5" s="1"/>
  <c r="G51" i="5"/>
  <c r="H51" i="5" s="1"/>
  <c r="J50" i="5"/>
  <c r="H50" i="5"/>
  <c r="I49" i="5"/>
  <c r="J49" i="5" s="1"/>
  <c r="G49" i="5"/>
  <c r="H49" i="5" s="1"/>
  <c r="I48" i="5"/>
  <c r="J48" i="5" s="1"/>
  <c r="G48" i="5"/>
  <c r="H48" i="5" s="1"/>
  <c r="J47" i="5"/>
  <c r="H47" i="5"/>
  <c r="I46" i="5"/>
  <c r="J46" i="5" s="1"/>
  <c r="G46" i="5"/>
  <c r="H46" i="5" s="1"/>
  <c r="E46" i="5"/>
  <c r="I45" i="5"/>
  <c r="J45" i="5" s="1"/>
  <c r="G45" i="5"/>
  <c r="H45" i="5" s="1"/>
  <c r="I44" i="5"/>
  <c r="J44" i="5" s="1"/>
  <c r="G44" i="5"/>
  <c r="H44" i="5" s="1"/>
  <c r="I43" i="5"/>
  <c r="J43" i="5" s="1"/>
  <c r="G43" i="5"/>
  <c r="H43" i="5" s="1"/>
  <c r="J42" i="5"/>
  <c r="I42" i="5"/>
  <c r="G42" i="5"/>
  <c r="H42" i="5" s="1"/>
  <c r="E42" i="5"/>
  <c r="F42" i="5" s="1"/>
  <c r="I41" i="5"/>
  <c r="J41" i="5" s="1"/>
  <c r="G41" i="5"/>
  <c r="H41" i="5" s="1"/>
  <c r="H38" i="5"/>
  <c r="H37" i="5"/>
  <c r="F37" i="5"/>
  <c r="F38" i="5" s="1"/>
  <c r="E7" i="4" s="1"/>
  <c r="E9" i="3" s="1"/>
  <c r="F9" i="3" s="1"/>
  <c r="I34" i="5"/>
  <c r="J34" i="5" s="1"/>
  <c r="H34" i="5"/>
  <c r="G34" i="5"/>
  <c r="F31" i="5"/>
  <c r="H30" i="5"/>
  <c r="H31" i="5" s="1"/>
  <c r="F6" i="4" s="1"/>
  <c r="F30" i="5"/>
  <c r="I24" i="5"/>
  <c r="J24" i="5" s="1"/>
  <c r="H24" i="5"/>
  <c r="G24" i="5"/>
  <c r="I23" i="5"/>
  <c r="J23" i="5" s="1"/>
  <c r="H23" i="5"/>
  <c r="G23" i="5"/>
  <c r="J22" i="5"/>
  <c r="I22" i="5"/>
  <c r="G22" i="5"/>
  <c r="H22" i="5" s="1"/>
  <c r="I21" i="5"/>
  <c r="J21" i="5" s="1"/>
  <c r="G21" i="5"/>
  <c r="H21" i="5" s="1"/>
  <c r="J20" i="5"/>
  <c r="I20" i="5"/>
  <c r="G20" i="5"/>
  <c r="F20" i="5"/>
  <c r="E20" i="5"/>
  <c r="F17" i="5"/>
  <c r="H16" i="5"/>
  <c r="H17" i="5" s="1"/>
  <c r="F5" i="4" s="1"/>
  <c r="G7" i="3" s="1"/>
  <c r="H7" i="3" s="1"/>
  <c r="F16" i="5"/>
  <c r="I13" i="5"/>
  <c r="J13" i="5" s="1"/>
  <c r="H13" i="5"/>
  <c r="G13" i="5"/>
  <c r="E13" i="5"/>
  <c r="H10" i="5"/>
  <c r="F4" i="4" s="1"/>
  <c r="H9" i="5"/>
  <c r="F9" i="5"/>
  <c r="G7" i="5"/>
  <c r="H7" i="5" s="1"/>
  <c r="I6" i="5"/>
  <c r="J6" i="5" s="1"/>
  <c r="G6" i="5"/>
  <c r="H6" i="5" s="1"/>
  <c r="I71" i="4"/>
  <c r="I70" i="4"/>
  <c r="F70" i="4"/>
  <c r="G14" i="5" s="1"/>
  <c r="H14" i="5" s="1"/>
  <c r="I69" i="4"/>
  <c r="I68" i="4"/>
  <c r="I67" i="4"/>
  <c r="I66" i="4"/>
  <c r="I65" i="4"/>
  <c r="I64" i="4"/>
  <c r="I63" i="4"/>
  <c r="I62" i="4"/>
  <c r="I61" i="4"/>
  <c r="I60" i="4"/>
  <c r="F60" i="4"/>
  <c r="G268" i="5" s="1"/>
  <c r="H268" i="5" s="1"/>
  <c r="I59" i="4"/>
  <c r="I58" i="4"/>
  <c r="I57" i="4"/>
  <c r="I56" i="4"/>
  <c r="I55" i="4"/>
  <c r="I54" i="4"/>
  <c r="I53" i="4"/>
  <c r="I52" i="4"/>
  <c r="G52" i="4"/>
  <c r="I335" i="5" s="1"/>
  <c r="J335" i="5" s="1"/>
  <c r="F52" i="4"/>
  <c r="G335" i="5" s="1"/>
  <c r="H335" i="5" s="1"/>
  <c r="I51" i="4"/>
  <c r="I50" i="4"/>
  <c r="I49" i="4"/>
  <c r="I48" i="4"/>
  <c r="F48" i="4"/>
  <c r="G78" i="5" s="1"/>
  <c r="H78" i="5" s="1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G32" i="4"/>
  <c r="I135" i="3" s="1"/>
  <c r="J135" i="3" s="1"/>
  <c r="I31" i="4"/>
  <c r="I30" i="4"/>
  <c r="I29" i="4"/>
  <c r="G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E14" i="4"/>
  <c r="E18" i="3" s="1"/>
  <c r="F18" i="3" s="1"/>
  <c r="I13" i="4"/>
  <c r="E13" i="4"/>
  <c r="I12" i="4"/>
  <c r="I11" i="4"/>
  <c r="I10" i="4"/>
  <c r="I9" i="4"/>
  <c r="I8" i="4"/>
  <c r="I7" i="4"/>
  <c r="F7" i="4"/>
  <c r="I6" i="4"/>
  <c r="I5" i="4"/>
  <c r="I4" i="4"/>
  <c r="K278" i="3"/>
  <c r="J278" i="3"/>
  <c r="H278" i="3"/>
  <c r="F278" i="3"/>
  <c r="K277" i="3"/>
  <c r="J277" i="3"/>
  <c r="H277" i="3"/>
  <c r="F277" i="3"/>
  <c r="K276" i="3"/>
  <c r="J276" i="3"/>
  <c r="H276" i="3"/>
  <c r="F276" i="3"/>
  <c r="L276" i="3" s="1"/>
  <c r="K275" i="3"/>
  <c r="J275" i="3"/>
  <c r="L275" i="3" s="1"/>
  <c r="H275" i="3"/>
  <c r="F275" i="3"/>
  <c r="L274" i="3"/>
  <c r="K274" i="3"/>
  <c r="J274" i="3"/>
  <c r="H274" i="3"/>
  <c r="F274" i="3"/>
  <c r="K273" i="3"/>
  <c r="J273" i="3"/>
  <c r="H273" i="3"/>
  <c r="F273" i="3"/>
  <c r="K272" i="3"/>
  <c r="J272" i="3"/>
  <c r="H272" i="3"/>
  <c r="F272" i="3"/>
  <c r="K271" i="3"/>
  <c r="J271" i="3"/>
  <c r="H271" i="3"/>
  <c r="F271" i="3"/>
  <c r="K270" i="3"/>
  <c r="J270" i="3"/>
  <c r="H270" i="3"/>
  <c r="F270" i="3"/>
  <c r="K269" i="3"/>
  <c r="J269" i="3"/>
  <c r="H269" i="3"/>
  <c r="F269" i="3"/>
  <c r="L269" i="3" s="1"/>
  <c r="K268" i="3"/>
  <c r="J268" i="3"/>
  <c r="H268" i="3"/>
  <c r="L268" i="3" s="1"/>
  <c r="F268" i="3"/>
  <c r="K267" i="3"/>
  <c r="J267" i="3"/>
  <c r="H267" i="3"/>
  <c r="F267" i="3"/>
  <c r="L267" i="3" s="1"/>
  <c r="K266" i="3"/>
  <c r="J266" i="3"/>
  <c r="H266" i="3"/>
  <c r="F266" i="3"/>
  <c r="K265" i="3"/>
  <c r="J265" i="3"/>
  <c r="H265" i="3"/>
  <c r="F265" i="3"/>
  <c r="L265" i="3" s="1"/>
  <c r="K264" i="3"/>
  <c r="J264" i="3"/>
  <c r="H264" i="3"/>
  <c r="F264" i="3"/>
  <c r="K263" i="3"/>
  <c r="J263" i="3"/>
  <c r="L263" i="3" s="1"/>
  <c r="H263" i="3"/>
  <c r="F263" i="3"/>
  <c r="K262" i="3"/>
  <c r="J262" i="3"/>
  <c r="H262" i="3"/>
  <c r="L262" i="3" s="1"/>
  <c r="F262" i="3"/>
  <c r="K261" i="3"/>
  <c r="J261" i="3"/>
  <c r="H261" i="3"/>
  <c r="F261" i="3"/>
  <c r="K260" i="3"/>
  <c r="J260" i="3"/>
  <c r="H260" i="3"/>
  <c r="F260" i="3"/>
  <c r="N259" i="3"/>
  <c r="I259" i="3"/>
  <c r="J259" i="3" s="1"/>
  <c r="G259" i="3"/>
  <c r="E259" i="3"/>
  <c r="F259" i="3" s="1"/>
  <c r="N258" i="3"/>
  <c r="J258" i="3"/>
  <c r="I258" i="3"/>
  <c r="G258" i="3"/>
  <c r="F258" i="3"/>
  <c r="E258" i="3"/>
  <c r="N257" i="3"/>
  <c r="J257" i="3"/>
  <c r="I257" i="3"/>
  <c r="G257" i="3"/>
  <c r="H257" i="3" s="1"/>
  <c r="E257" i="3"/>
  <c r="K257" i="3" s="1"/>
  <c r="N256" i="3"/>
  <c r="I256" i="3"/>
  <c r="J256" i="3" s="1"/>
  <c r="G256" i="3"/>
  <c r="H256" i="3" s="1"/>
  <c r="E256" i="3"/>
  <c r="K253" i="3"/>
  <c r="J253" i="3"/>
  <c r="H253" i="3"/>
  <c r="F253" i="3"/>
  <c r="K252" i="3"/>
  <c r="J252" i="3"/>
  <c r="H252" i="3"/>
  <c r="F252" i="3"/>
  <c r="L252" i="3" s="1"/>
  <c r="K251" i="3"/>
  <c r="J251" i="3"/>
  <c r="H251" i="3"/>
  <c r="F251" i="3"/>
  <c r="K250" i="3"/>
  <c r="J250" i="3"/>
  <c r="L250" i="3" s="1"/>
  <c r="H250" i="3"/>
  <c r="F250" i="3"/>
  <c r="K249" i="3"/>
  <c r="J249" i="3"/>
  <c r="H249" i="3"/>
  <c r="F249" i="3"/>
  <c r="L249" i="3" s="1"/>
  <c r="K248" i="3"/>
  <c r="J248" i="3"/>
  <c r="H248" i="3"/>
  <c r="F248" i="3"/>
  <c r="K247" i="3"/>
  <c r="J247" i="3"/>
  <c r="H247" i="3"/>
  <c r="F247" i="3"/>
  <c r="K246" i="3"/>
  <c r="J246" i="3"/>
  <c r="H246" i="3"/>
  <c r="F246" i="3"/>
  <c r="K245" i="3"/>
  <c r="J245" i="3"/>
  <c r="H245" i="3"/>
  <c r="L245" i="3" s="1"/>
  <c r="F245" i="3"/>
  <c r="K244" i="3"/>
  <c r="J244" i="3"/>
  <c r="H244" i="3"/>
  <c r="F244" i="3"/>
  <c r="K243" i="3"/>
  <c r="J243" i="3"/>
  <c r="H243" i="3"/>
  <c r="L243" i="3" s="1"/>
  <c r="F243" i="3"/>
  <c r="K242" i="3"/>
  <c r="J242" i="3"/>
  <c r="H242" i="3"/>
  <c r="F242" i="3"/>
  <c r="K241" i="3"/>
  <c r="J241" i="3"/>
  <c r="H241" i="3"/>
  <c r="L241" i="3" s="1"/>
  <c r="F241" i="3"/>
  <c r="K240" i="3"/>
  <c r="J240" i="3"/>
  <c r="H240" i="3"/>
  <c r="F240" i="3"/>
  <c r="L240" i="3" s="1"/>
  <c r="K239" i="3"/>
  <c r="J239" i="3"/>
  <c r="H239" i="3"/>
  <c r="F239" i="3"/>
  <c r="K238" i="3"/>
  <c r="J238" i="3"/>
  <c r="L238" i="3" s="1"/>
  <c r="H238" i="3"/>
  <c r="F238" i="3"/>
  <c r="K237" i="3"/>
  <c r="J237" i="3"/>
  <c r="H237" i="3"/>
  <c r="F237" i="3"/>
  <c r="L237" i="3" s="1"/>
  <c r="K236" i="3"/>
  <c r="J236" i="3"/>
  <c r="H236" i="3"/>
  <c r="F236" i="3"/>
  <c r="K235" i="3"/>
  <c r="J235" i="3"/>
  <c r="H235" i="3"/>
  <c r="F235" i="3"/>
  <c r="K234" i="3"/>
  <c r="J234" i="3"/>
  <c r="H234" i="3"/>
  <c r="F234" i="3"/>
  <c r="K233" i="3"/>
  <c r="J233" i="3"/>
  <c r="L233" i="3" s="1"/>
  <c r="H233" i="3"/>
  <c r="F233" i="3"/>
  <c r="K232" i="3"/>
  <c r="J232" i="3"/>
  <c r="H232" i="3"/>
  <c r="F232" i="3"/>
  <c r="N231" i="3"/>
  <c r="I231" i="3"/>
  <c r="J231" i="3" s="1"/>
  <c r="J254" i="3" s="1"/>
  <c r="G231" i="3"/>
  <c r="H231" i="3" s="1"/>
  <c r="H254" i="3" s="1"/>
  <c r="G16" i="2" s="1"/>
  <c r="H16" i="2" s="1"/>
  <c r="K228" i="3"/>
  <c r="J228" i="3"/>
  <c r="H228" i="3"/>
  <c r="F228" i="3"/>
  <c r="K227" i="3"/>
  <c r="J227" i="3"/>
  <c r="H227" i="3"/>
  <c r="F227" i="3"/>
  <c r="K226" i="3"/>
  <c r="J226" i="3"/>
  <c r="H226" i="3"/>
  <c r="F226" i="3"/>
  <c r="K225" i="3"/>
  <c r="J225" i="3"/>
  <c r="H225" i="3"/>
  <c r="F225" i="3"/>
  <c r="L225" i="3" s="1"/>
  <c r="K224" i="3"/>
  <c r="J224" i="3"/>
  <c r="H224" i="3"/>
  <c r="L224" i="3" s="1"/>
  <c r="F224" i="3"/>
  <c r="K223" i="3"/>
  <c r="J223" i="3"/>
  <c r="H223" i="3"/>
  <c r="F223" i="3"/>
  <c r="L223" i="3" s="1"/>
  <c r="K222" i="3"/>
  <c r="J222" i="3"/>
  <c r="H222" i="3"/>
  <c r="L222" i="3" s="1"/>
  <c r="F222" i="3"/>
  <c r="K221" i="3"/>
  <c r="J221" i="3"/>
  <c r="H221" i="3"/>
  <c r="F221" i="3"/>
  <c r="L221" i="3" s="1"/>
  <c r="K220" i="3"/>
  <c r="J220" i="3"/>
  <c r="H220" i="3"/>
  <c r="F220" i="3"/>
  <c r="K219" i="3"/>
  <c r="J219" i="3"/>
  <c r="H219" i="3"/>
  <c r="F219" i="3"/>
  <c r="K218" i="3"/>
  <c r="J218" i="3"/>
  <c r="H218" i="3"/>
  <c r="F218" i="3"/>
  <c r="L218" i="3" s="1"/>
  <c r="K217" i="3"/>
  <c r="J217" i="3"/>
  <c r="H217" i="3"/>
  <c r="F217" i="3"/>
  <c r="K216" i="3"/>
  <c r="J216" i="3"/>
  <c r="L216" i="3" s="1"/>
  <c r="H216" i="3"/>
  <c r="F216" i="3"/>
  <c r="K215" i="3"/>
  <c r="J215" i="3"/>
  <c r="H215" i="3"/>
  <c r="F215" i="3"/>
  <c r="L215" i="3" s="1"/>
  <c r="K214" i="3"/>
  <c r="J214" i="3"/>
  <c r="H214" i="3"/>
  <c r="F214" i="3"/>
  <c r="K213" i="3"/>
  <c r="J213" i="3"/>
  <c r="H213" i="3"/>
  <c r="F213" i="3"/>
  <c r="K212" i="3"/>
  <c r="J212" i="3"/>
  <c r="H212" i="3"/>
  <c r="F212" i="3"/>
  <c r="K211" i="3"/>
  <c r="J211" i="3"/>
  <c r="H211" i="3"/>
  <c r="F211" i="3"/>
  <c r="L211" i="3" s="1"/>
  <c r="K210" i="3"/>
  <c r="J210" i="3"/>
  <c r="H210" i="3"/>
  <c r="F210" i="3"/>
  <c r="K209" i="3"/>
  <c r="J209" i="3"/>
  <c r="H209" i="3"/>
  <c r="F209" i="3"/>
  <c r="K208" i="3"/>
  <c r="J208" i="3"/>
  <c r="H208" i="3"/>
  <c r="F208" i="3"/>
  <c r="L208" i="3" s="1"/>
  <c r="K207" i="3"/>
  <c r="J207" i="3"/>
  <c r="L207" i="3" s="1"/>
  <c r="H207" i="3"/>
  <c r="F207" i="3"/>
  <c r="N206" i="3"/>
  <c r="J206" i="3"/>
  <c r="J229" i="3" s="1"/>
  <c r="I206" i="3"/>
  <c r="G206" i="3"/>
  <c r="H206" i="3" s="1"/>
  <c r="H229" i="3" s="1"/>
  <c r="G15" i="2" s="1"/>
  <c r="H15" i="2" s="1"/>
  <c r="E206" i="3"/>
  <c r="K203" i="3"/>
  <c r="J203" i="3"/>
  <c r="H203" i="3"/>
  <c r="F203" i="3"/>
  <c r="K202" i="3"/>
  <c r="J202" i="3"/>
  <c r="H202" i="3"/>
  <c r="F202" i="3"/>
  <c r="K201" i="3"/>
  <c r="J201" i="3"/>
  <c r="L201" i="3" s="1"/>
  <c r="H201" i="3"/>
  <c r="F201" i="3"/>
  <c r="K200" i="3"/>
  <c r="J200" i="3"/>
  <c r="H200" i="3"/>
  <c r="F200" i="3"/>
  <c r="K199" i="3"/>
  <c r="J199" i="3"/>
  <c r="H199" i="3"/>
  <c r="L199" i="3" s="1"/>
  <c r="F199" i="3"/>
  <c r="K198" i="3"/>
  <c r="J198" i="3"/>
  <c r="H198" i="3"/>
  <c r="F198" i="3"/>
  <c r="K197" i="3"/>
  <c r="J197" i="3"/>
  <c r="H197" i="3"/>
  <c r="F197" i="3"/>
  <c r="K196" i="3"/>
  <c r="J196" i="3"/>
  <c r="H196" i="3"/>
  <c r="F196" i="3"/>
  <c r="K195" i="3"/>
  <c r="J195" i="3"/>
  <c r="H195" i="3"/>
  <c r="F195" i="3"/>
  <c r="L195" i="3" s="1"/>
  <c r="K194" i="3"/>
  <c r="J194" i="3"/>
  <c r="H194" i="3"/>
  <c r="F194" i="3"/>
  <c r="K193" i="3"/>
  <c r="J193" i="3"/>
  <c r="H193" i="3"/>
  <c r="F193" i="3"/>
  <c r="K192" i="3"/>
  <c r="J192" i="3"/>
  <c r="H192" i="3"/>
  <c r="F192" i="3"/>
  <c r="L192" i="3" s="1"/>
  <c r="K191" i="3"/>
  <c r="J191" i="3"/>
  <c r="H191" i="3"/>
  <c r="F191" i="3"/>
  <c r="K190" i="3"/>
  <c r="J190" i="3"/>
  <c r="H190" i="3"/>
  <c r="F190" i="3"/>
  <c r="L190" i="3" s="1"/>
  <c r="K189" i="3"/>
  <c r="J189" i="3"/>
  <c r="H189" i="3"/>
  <c r="L189" i="3" s="1"/>
  <c r="F189" i="3"/>
  <c r="K188" i="3"/>
  <c r="J188" i="3"/>
  <c r="H188" i="3"/>
  <c r="F188" i="3"/>
  <c r="K187" i="3"/>
  <c r="J187" i="3"/>
  <c r="H187" i="3"/>
  <c r="L187" i="3" s="1"/>
  <c r="F187" i="3"/>
  <c r="K186" i="3"/>
  <c r="J186" i="3"/>
  <c r="H186" i="3"/>
  <c r="F186" i="3"/>
  <c r="K185" i="3"/>
  <c r="J185" i="3"/>
  <c r="H185" i="3"/>
  <c r="L185" i="3" s="1"/>
  <c r="F185" i="3"/>
  <c r="K184" i="3"/>
  <c r="J184" i="3"/>
  <c r="H184" i="3"/>
  <c r="F184" i="3"/>
  <c r="L184" i="3" s="1"/>
  <c r="K183" i="3"/>
  <c r="J183" i="3"/>
  <c r="H183" i="3"/>
  <c r="F183" i="3"/>
  <c r="N182" i="3"/>
  <c r="J182" i="3"/>
  <c r="I182" i="3"/>
  <c r="G182" i="3"/>
  <c r="H182" i="3" s="1"/>
  <c r="E182" i="3"/>
  <c r="K182" i="3" s="1"/>
  <c r="N181" i="3"/>
  <c r="I181" i="3"/>
  <c r="J181" i="3" s="1"/>
  <c r="J204" i="3" s="1"/>
  <c r="I14" i="2" s="1"/>
  <c r="J14" i="2" s="1"/>
  <c r="H181" i="3"/>
  <c r="G181" i="3"/>
  <c r="K178" i="3"/>
  <c r="J178" i="3"/>
  <c r="H178" i="3"/>
  <c r="F178" i="3"/>
  <c r="L178" i="3" s="1"/>
  <c r="K177" i="3"/>
  <c r="J177" i="3"/>
  <c r="H177" i="3"/>
  <c r="F177" i="3"/>
  <c r="K176" i="3"/>
  <c r="J176" i="3"/>
  <c r="H176" i="3"/>
  <c r="F176" i="3"/>
  <c r="K175" i="3"/>
  <c r="J175" i="3"/>
  <c r="H175" i="3"/>
  <c r="L175" i="3" s="1"/>
  <c r="F175" i="3"/>
  <c r="K174" i="3"/>
  <c r="J174" i="3"/>
  <c r="H174" i="3"/>
  <c r="F174" i="3"/>
  <c r="L173" i="3"/>
  <c r="K173" i="3"/>
  <c r="J173" i="3"/>
  <c r="H173" i="3"/>
  <c r="F173" i="3"/>
  <c r="K172" i="3"/>
  <c r="J172" i="3"/>
  <c r="H172" i="3"/>
  <c r="F172" i="3"/>
  <c r="K171" i="3"/>
  <c r="J171" i="3"/>
  <c r="H171" i="3"/>
  <c r="F171" i="3"/>
  <c r="L171" i="3" s="1"/>
  <c r="K170" i="3"/>
  <c r="J170" i="3"/>
  <c r="L170" i="3" s="1"/>
  <c r="H170" i="3"/>
  <c r="F170" i="3"/>
  <c r="L169" i="3"/>
  <c r="K169" i="3"/>
  <c r="J169" i="3"/>
  <c r="H169" i="3"/>
  <c r="F169" i="3"/>
  <c r="K168" i="3"/>
  <c r="J168" i="3"/>
  <c r="H168" i="3"/>
  <c r="F168" i="3"/>
  <c r="L168" i="3" s="1"/>
  <c r="K167" i="3"/>
  <c r="J167" i="3"/>
  <c r="H167" i="3"/>
  <c r="F167" i="3"/>
  <c r="K166" i="3"/>
  <c r="J166" i="3"/>
  <c r="H166" i="3"/>
  <c r="F166" i="3"/>
  <c r="K165" i="3"/>
  <c r="J165" i="3"/>
  <c r="H165" i="3"/>
  <c r="F165" i="3"/>
  <c r="L165" i="3" s="1"/>
  <c r="K164" i="3"/>
  <c r="J164" i="3"/>
  <c r="H164" i="3"/>
  <c r="L164" i="3" s="1"/>
  <c r="F164" i="3"/>
  <c r="K163" i="3"/>
  <c r="J163" i="3"/>
  <c r="H163" i="3"/>
  <c r="F163" i="3"/>
  <c r="L163" i="3" s="1"/>
  <c r="K162" i="3"/>
  <c r="J162" i="3"/>
  <c r="H162" i="3"/>
  <c r="F162" i="3"/>
  <c r="K161" i="3"/>
  <c r="J161" i="3"/>
  <c r="H161" i="3"/>
  <c r="F161" i="3"/>
  <c r="L161" i="3" s="1"/>
  <c r="K160" i="3"/>
  <c r="J160" i="3"/>
  <c r="H160" i="3"/>
  <c r="F160" i="3"/>
  <c r="K159" i="3"/>
  <c r="J159" i="3"/>
  <c r="L159" i="3" s="1"/>
  <c r="H159" i="3"/>
  <c r="F159" i="3"/>
  <c r="K158" i="3"/>
  <c r="J158" i="3"/>
  <c r="H158" i="3"/>
  <c r="F158" i="3"/>
  <c r="L158" i="3" s="1"/>
  <c r="K157" i="3"/>
  <c r="J157" i="3"/>
  <c r="H157" i="3"/>
  <c r="F157" i="3"/>
  <c r="N156" i="3"/>
  <c r="I156" i="3"/>
  <c r="J156" i="3" s="1"/>
  <c r="J179" i="3" s="1"/>
  <c r="H156" i="3"/>
  <c r="H179" i="3" s="1"/>
  <c r="G13" i="2" s="1"/>
  <c r="G156" i="3"/>
  <c r="F156" i="3"/>
  <c r="L156" i="3" s="1"/>
  <c r="E156" i="3"/>
  <c r="K153" i="3"/>
  <c r="J153" i="3"/>
  <c r="H153" i="3"/>
  <c r="F153" i="3"/>
  <c r="L153" i="3" s="1"/>
  <c r="K152" i="3"/>
  <c r="J152" i="3"/>
  <c r="L152" i="3" s="1"/>
  <c r="H152" i="3"/>
  <c r="F152" i="3"/>
  <c r="L151" i="3"/>
  <c r="K151" i="3"/>
  <c r="J151" i="3"/>
  <c r="H151" i="3"/>
  <c r="F151" i="3"/>
  <c r="K150" i="3"/>
  <c r="J150" i="3"/>
  <c r="H150" i="3"/>
  <c r="F150" i="3"/>
  <c r="K149" i="3"/>
  <c r="J149" i="3"/>
  <c r="H149" i="3"/>
  <c r="F149" i="3"/>
  <c r="K148" i="3"/>
  <c r="J148" i="3"/>
  <c r="L148" i="3" s="1"/>
  <c r="H148" i="3"/>
  <c r="F148" i="3"/>
  <c r="L147" i="3"/>
  <c r="K147" i="3"/>
  <c r="J147" i="3"/>
  <c r="H147" i="3"/>
  <c r="F147" i="3"/>
  <c r="K146" i="3"/>
  <c r="J146" i="3"/>
  <c r="L146" i="3" s="1"/>
  <c r="H146" i="3"/>
  <c r="F146" i="3"/>
  <c r="K145" i="3"/>
  <c r="J145" i="3"/>
  <c r="H145" i="3"/>
  <c r="F145" i="3"/>
  <c r="L145" i="3" s="1"/>
  <c r="N144" i="3"/>
  <c r="N143" i="3"/>
  <c r="H143" i="3"/>
  <c r="G143" i="3"/>
  <c r="N142" i="3"/>
  <c r="N141" i="3"/>
  <c r="N140" i="3"/>
  <c r="G140" i="3"/>
  <c r="H140" i="3" s="1"/>
  <c r="N139" i="3"/>
  <c r="N138" i="3"/>
  <c r="N137" i="3"/>
  <c r="N136" i="3"/>
  <c r="N135" i="3"/>
  <c r="N134" i="3"/>
  <c r="N133" i="3"/>
  <c r="N132" i="3"/>
  <c r="I132" i="3"/>
  <c r="J132" i="3" s="1"/>
  <c r="N131" i="3"/>
  <c r="I131" i="3"/>
  <c r="J131" i="3" s="1"/>
  <c r="H131" i="3"/>
  <c r="G131" i="3"/>
  <c r="F131" i="3"/>
  <c r="E131" i="3"/>
  <c r="K131" i="3" s="1"/>
  <c r="K128" i="3"/>
  <c r="J128" i="3"/>
  <c r="H128" i="3"/>
  <c r="F128" i="3"/>
  <c r="K127" i="3"/>
  <c r="J127" i="3"/>
  <c r="H127" i="3"/>
  <c r="L127" i="3" s="1"/>
  <c r="F127" i="3"/>
  <c r="K126" i="3"/>
  <c r="J126" i="3"/>
  <c r="H126" i="3"/>
  <c r="F126" i="3"/>
  <c r="L126" i="3" s="1"/>
  <c r="K125" i="3"/>
  <c r="J125" i="3"/>
  <c r="H125" i="3"/>
  <c r="F125" i="3"/>
  <c r="K124" i="3"/>
  <c r="J124" i="3"/>
  <c r="H124" i="3"/>
  <c r="F124" i="3"/>
  <c r="K123" i="3"/>
  <c r="J123" i="3"/>
  <c r="H123" i="3"/>
  <c r="F123" i="3"/>
  <c r="K122" i="3"/>
  <c r="J122" i="3"/>
  <c r="L122" i="3" s="1"/>
  <c r="H122" i="3"/>
  <c r="F122" i="3"/>
  <c r="L121" i="3"/>
  <c r="K121" i="3"/>
  <c r="J121" i="3"/>
  <c r="H121" i="3"/>
  <c r="F121" i="3"/>
  <c r="K120" i="3"/>
  <c r="J120" i="3"/>
  <c r="L120" i="3" s="1"/>
  <c r="H120" i="3"/>
  <c r="F120" i="3"/>
  <c r="K119" i="3"/>
  <c r="J119" i="3"/>
  <c r="H119" i="3"/>
  <c r="F119" i="3"/>
  <c r="L119" i="3" s="1"/>
  <c r="K118" i="3"/>
  <c r="J118" i="3"/>
  <c r="H118" i="3"/>
  <c r="F118" i="3"/>
  <c r="K117" i="3"/>
  <c r="J117" i="3"/>
  <c r="H117" i="3"/>
  <c r="F117" i="3"/>
  <c r="K116" i="3"/>
  <c r="J116" i="3"/>
  <c r="H116" i="3"/>
  <c r="F116" i="3"/>
  <c r="L116" i="3" s="1"/>
  <c r="K115" i="3"/>
  <c r="J115" i="3"/>
  <c r="L115" i="3" s="1"/>
  <c r="H115" i="3"/>
  <c r="F115" i="3"/>
  <c r="K114" i="3"/>
  <c r="J114" i="3"/>
  <c r="H114" i="3"/>
  <c r="F114" i="3"/>
  <c r="K113" i="3"/>
  <c r="J113" i="3"/>
  <c r="H113" i="3"/>
  <c r="L113" i="3" s="1"/>
  <c r="F113" i="3"/>
  <c r="K112" i="3"/>
  <c r="J112" i="3"/>
  <c r="H112" i="3"/>
  <c r="F112" i="3"/>
  <c r="K111" i="3"/>
  <c r="J111" i="3"/>
  <c r="H111" i="3"/>
  <c r="F111" i="3"/>
  <c r="L111" i="3" s="1"/>
  <c r="K110" i="3"/>
  <c r="J110" i="3"/>
  <c r="H110" i="3"/>
  <c r="L110" i="3" s="1"/>
  <c r="F110" i="3"/>
  <c r="K109" i="3"/>
  <c r="J109" i="3"/>
  <c r="H109" i="3"/>
  <c r="F109" i="3"/>
  <c r="L108" i="3"/>
  <c r="K108" i="3"/>
  <c r="J108" i="3"/>
  <c r="H108" i="3"/>
  <c r="F108" i="3"/>
  <c r="K107" i="3"/>
  <c r="J107" i="3"/>
  <c r="H107" i="3"/>
  <c r="F107" i="3"/>
  <c r="L107" i="3" s="1"/>
  <c r="N106" i="3"/>
  <c r="I106" i="3"/>
  <c r="J106" i="3" s="1"/>
  <c r="J129" i="3" s="1"/>
  <c r="I11" i="2" s="1"/>
  <c r="J11" i="2" s="1"/>
  <c r="G106" i="3"/>
  <c r="H106" i="3" s="1"/>
  <c r="H129" i="3" s="1"/>
  <c r="G11" i="2" s="1"/>
  <c r="H11" i="2" s="1"/>
  <c r="E106" i="3"/>
  <c r="K103" i="3"/>
  <c r="J103" i="3"/>
  <c r="H103" i="3"/>
  <c r="F103" i="3"/>
  <c r="K102" i="3"/>
  <c r="J102" i="3"/>
  <c r="H102" i="3"/>
  <c r="F102" i="3"/>
  <c r="L102" i="3" s="1"/>
  <c r="K101" i="3"/>
  <c r="J101" i="3"/>
  <c r="H101" i="3"/>
  <c r="F101" i="3"/>
  <c r="K100" i="3"/>
  <c r="J100" i="3"/>
  <c r="H100" i="3"/>
  <c r="F100" i="3"/>
  <c r="K99" i="3"/>
  <c r="J99" i="3"/>
  <c r="H99" i="3"/>
  <c r="F99" i="3"/>
  <c r="K98" i="3"/>
  <c r="J98" i="3"/>
  <c r="H98" i="3"/>
  <c r="F98" i="3"/>
  <c r="K97" i="3"/>
  <c r="J97" i="3"/>
  <c r="H97" i="3"/>
  <c r="F97" i="3"/>
  <c r="K96" i="3"/>
  <c r="J96" i="3"/>
  <c r="H96" i="3"/>
  <c r="F96" i="3"/>
  <c r="L96" i="3" s="1"/>
  <c r="K95" i="3"/>
  <c r="J95" i="3"/>
  <c r="H95" i="3"/>
  <c r="F95" i="3"/>
  <c r="K94" i="3"/>
  <c r="J94" i="3"/>
  <c r="H94" i="3"/>
  <c r="F94" i="3"/>
  <c r="L94" i="3" s="1"/>
  <c r="K93" i="3"/>
  <c r="J93" i="3"/>
  <c r="H93" i="3"/>
  <c r="F93" i="3"/>
  <c r="K92" i="3"/>
  <c r="J92" i="3"/>
  <c r="H92" i="3"/>
  <c r="F92" i="3"/>
  <c r="K91" i="3"/>
  <c r="J91" i="3"/>
  <c r="H91" i="3"/>
  <c r="L91" i="3" s="1"/>
  <c r="F91" i="3"/>
  <c r="K90" i="3"/>
  <c r="J90" i="3"/>
  <c r="H90" i="3"/>
  <c r="F90" i="3"/>
  <c r="K89" i="3"/>
  <c r="J89" i="3"/>
  <c r="H89" i="3"/>
  <c r="F89" i="3"/>
  <c r="K88" i="3"/>
  <c r="J88" i="3"/>
  <c r="H88" i="3"/>
  <c r="F88" i="3"/>
  <c r="K87" i="3"/>
  <c r="J87" i="3"/>
  <c r="H87" i="3"/>
  <c r="F87" i="3"/>
  <c r="L86" i="3"/>
  <c r="K86" i="3"/>
  <c r="J86" i="3"/>
  <c r="H86" i="3"/>
  <c r="F86" i="3"/>
  <c r="K85" i="3"/>
  <c r="J85" i="3"/>
  <c r="H85" i="3"/>
  <c r="F85" i="3"/>
  <c r="K84" i="3"/>
  <c r="J84" i="3"/>
  <c r="H84" i="3"/>
  <c r="F84" i="3"/>
  <c r="K83" i="3"/>
  <c r="J83" i="3"/>
  <c r="H83" i="3"/>
  <c r="F83" i="3"/>
  <c r="K82" i="3"/>
  <c r="J82" i="3"/>
  <c r="H82" i="3"/>
  <c r="F82" i="3"/>
  <c r="N81" i="3"/>
  <c r="K78" i="3"/>
  <c r="J78" i="3"/>
  <c r="H78" i="3"/>
  <c r="L78" i="3" s="1"/>
  <c r="F78" i="3"/>
  <c r="K77" i="3"/>
  <c r="J77" i="3"/>
  <c r="H77" i="3"/>
  <c r="F77" i="3"/>
  <c r="K76" i="3"/>
  <c r="J76" i="3"/>
  <c r="L76" i="3" s="1"/>
  <c r="H76" i="3"/>
  <c r="F76" i="3"/>
  <c r="K75" i="3"/>
  <c r="J75" i="3"/>
  <c r="H75" i="3"/>
  <c r="F75" i="3"/>
  <c r="L75" i="3" s="1"/>
  <c r="K74" i="3"/>
  <c r="J74" i="3"/>
  <c r="H74" i="3"/>
  <c r="F74" i="3"/>
  <c r="K73" i="3"/>
  <c r="J73" i="3"/>
  <c r="H73" i="3"/>
  <c r="F73" i="3"/>
  <c r="K72" i="3"/>
  <c r="J72" i="3"/>
  <c r="H72" i="3"/>
  <c r="F72" i="3"/>
  <c r="L72" i="3" s="1"/>
  <c r="K71" i="3"/>
  <c r="J71" i="3"/>
  <c r="H71" i="3"/>
  <c r="F71" i="3"/>
  <c r="K70" i="3"/>
  <c r="J70" i="3"/>
  <c r="H70" i="3"/>
  <c r="F70" i="3"/>
  <c r="K69" i="3"/>
  <c r="J69" i="3"/>
  <c r="H69" i="3"/>
  <c r="F69" i="3"/>
  <c r="K68" i="3"/>
  <c r="J68" i="3"/>
  <c r="H68" i="3"/>
  <c r="F68" i="3"/>
  <c r="K67" i="3"/>
  <c r="J67" i="3"/>
  <c r="H67" i="3"/>
  <c r="F67" i="3"/>
  <c r="L66" i="3"/>
  <c r="K66" i="3"/>
  <c r="J66" i="3"/>
  <c r="H66" i="3"/>
  <c r="F66" i="3"/>
  <c r="K65" i="3"/>
  <c r="J65" i="3"/>
  <c r="L65" i="3" s="1"/>
  <c r="H65" i="3"/>
  <c r="F65" i="3"/>
  <c r="K64" i="3"/>
  <c r="J64" i="3"/>
  <c r="H64" i="3"/>
  <c r="F64" i="3"/>
  <c r="K63" i="3"/>
  <c r="J63" i="3"/>
  <c r="H63" i="3"/>
  <c r="F63" i="3"/>
  <c r="K62" i="3"/>
  <c r="J62" i="3"/>
  <c r="H62" i="3"/>
  <c r="F62" i="3"/>
  <c r="K61" i="3"/>
  <c r="J61" i="3"/>
  <c r="H61" i="3"/>
  <c r="F61" i="3"/>
  <c r="L61" i="3" s="1"/>
  <c r="K60" i="3"/>
  <c r="J60" i="3"/>
  <c r="H60" i="3"/>
  <c r="F60" i="3"/>
  <c r="K59" i="3"/>
  <c r="J59" i="3"/>
  <c r="L59" i="3" s="1"/>
  <c r="H59" i="3"/>
  <c r="F59" i="3"/>
  <c r="K58" i="3"/>
  <c r="J58" i="3"/>
  <c r="H58" i="3"/>
  <c r="F58" i="3"/>
  <c r="L58" i="3" s="1"/>
  <c r="N57" i="3"/>
  <c r="N56" i="3"/>
  <c r="K53" i="3"/>
  <c r="J53" i="3"/>
  <c r="H53" i="3"/>
  <c r="F53" i="3"/>
  <c r="K52" i="3"/>
  <c r="J52" i="3"/>
  <c r="L52" i="3" s="1"/>
  <c r="H52" i="3"/>
  <c r="F52" i="3"/>
  <c r="K51" i="3"/>
  <c r="J51" i="3"/>
  <c r="H51" i="3"/>
  <c r="F51" i="3"/>
  <c r="K50" i="3"/>
  <c r="J50" i="3"/>
  <c r="H50" i="3"/>
  <c r="F50" i="3"/>
  <c r="K49" i="3"/>
  <c r="J49" i="3"/>
  <c r="H49" i="3"/>
  <c r="F49" i="3"/>
  <c r="N48" i="3"/>
  <c r="N47" i="3"/>
  <c r="N46" i="3"/>
  <c r="H46" i="3"/>
  <c r="G46" i="3"/>
  <c r="N45" i="3"/>
  <c r="N44" i="3"/>
  <c r="N43" i="3"/>
  <c r="N42" i="3"/>
  <c r="I42" i="3"/>
  <c r="J42" i="3" s="1"/>
  <c r="N41" i="3"/>
  <c r="N40" i="3"/>
  <c r="N39" i="3"/>
  <c r="N38" i="3"/>
  <c r="I38" i="3"/>
  <c r="J38" i="3" s="1"/>
  <c r="H38" i="3"/>
  <c r="G38" i="3"/>
  <c r="E38" i="3"/>
  <c r="N37" i="3"/>
  <c r="J37" i="3"/>
  <c r="I37" i="3"/>
  <c r="G37" i="3"/>
  <c r="H37" i="3" s="1"/>
  <c r="N36" i="3"/>
  <c r="I36" i="3"/>
  <c r="J36" i="3" s="1"/>
  <c r="H36" i="3"/>
  <c r="G36" i="3"/>
  <c r="E36" i="3"/>
  <c r="F36" i="3" s="1"/>
  <c r="L36" i="3" s="1"/>
  <c r="N35" i="3"/>
  <c r="I35" i="3"/>
  <c r="J35" i="3" s="1"/>
  <c r="H35" i="3"/>
  <c r="G35" i="3"/>
  <c r="N34" i="3"/>
  <c r="J34" i="3"/>
  <c r="I34" i="3"/>
  <c r="H34" i="3"/>
  <c r="G34" i="3"/>
  <c r="E34" i="3"/>
  <c r="N33" i="3"/>
  <c r="I33" i="3"/>
  <c r="J33" i="3" s="1"/>
  <c r="G33" i="3"/>
  <c r="H33" i="3" s="1"/>
  <c r="N32" i="3"/>
  <c r="K32" i="3"/>
  <c r="I32" i="3"/>
  <c r="J32" i="3" s="1"/>
  <c r="H32" i="3"/>
  <c r="G32" i="3"/>
  <c r="E32" i="3"/>
  <c r="F32" i="3" s="1"/>
  <c r="N31" i="3"/>
  <c r="I31" i="3"/>
  <c r="J31" i="3" s="1"/>
  <c r="G31" i="3"/>
  <c r="H31" i="3" s="1"/>
  <c r="K28" i="3"/>
  <c r="J28" i="3"/>
  <c r="H28" i="3"/>
  <c r="F28" i="3"/>
  <c r="K27" i="3"/>
  <c r="J27" i="3"/>
  <c r="H27" i="3"/>
  <c r="F27" i="3"/>
  <c r="K26" i="3"/>
  <c r="J26" i="3"/>
  <c r="H26" i="3"/>
  <c r="F26" i="3"/>
  <c r="K25" i="3"/>
  <c r="J25" i="3"/>
  <c r="H25" i="3"/>
  <c r="F25" i="3"/>
  <c r="K24" i="3"/>
  <c r="J24" i="3"/>
  <c r="H24" i="3"/>
  <c r="F24" i="3"/>
  <c r="L24" i="3" s="1"/>
  <c r="K23" i="3"/>
  <c r="J23" i="3"/>
  <c r="H23" i="3"/>
  <c r="L23" i="3" s="1"/>
  <c r="F23" i="3"/>
  <c r="K22" i="3"/>
  <c r="J22" i="3"/>
  <c r="H22" i="3"/>
  <c r="F22" i="3"/>
  <c r="L22" i="3" s="1"/>
  <c r="K21" i="3"/>
  <c r="J21" i="3"/>
  <c r="H21" i="3"/>
  <c r="L21" i="3" s="1"/>
  <c r="F21" i="3"/>
  <c r="K20" i="3"/>
  <c r="J20" i="3"/>
  <c r="H20" i="3"/>
  <c r="F20" i="3"/>
  <c r="N19" i="3"/>
  <c r="N18" i="3"/>
  <c r="H18" i="3"/>
  <c r="G18" i="3"/>
  <c r="N17" i="3"/>
  <c r="E17" i="3"/>
  <c r="F17" i="3" s="1"/>
  <c r="N16" i="3"/>
  <c r="N15" i="3"/>
  <c r="N14" i="3"/>
  <c r="N13" i="3"/>
  <c r="I13" i="3"/>
  <c r="J13" i="3" s="1"/>
  <c r="H13" i="3"/>
  <c r="G13" i="3"/>
  <c r="E13" i="3"/>
  <c r="F13" i="3" s="1"/>
  <c r="L13" i="3" s="1"/>
  <c r="N12" i="3"/>
  <c r="I12" i="3"/>
  <c r="J12" i="3" s="1"/>
  <c r="G12" i="3"/>
  <c r="N11" i="3"/>
  <c r="I11" i="3"/>
  <c r="J11" i="3" s="1"/>
  <c r="N10" i="3"/>
  <c r="N9" i="3"/>
  <c r="N8" i="3"/>
  <c r="G8" i="3"/>
  <c r="H8" i="3" s="1"/>
  <c r="N7" i="3"/>
  <c r="N6" i="3"/>
  <c r="H6" i="3"/>
  <c r="G6" i="3"/>
  <c r="I16" i="2"/>
  <c r="J16" i="2" s="1"/>
  <c r="I15" i="2"/>
  <c r="J15" i="2" s="1"/>
  <c r="I13" i="2"/>
  <c r="J13" i="2" s="1"/>
  <c r="H13" i="2"/>
  <c r="E35" i="1"/>
  <c r="E34" i="1"/>
  <c r="E6" i="1"/>
  <c r="E5" i="1"/>
  <c r="K77" i="5" l="1"/>
  <c r="F77" i="5"/>
  <c r="L77" i="5" s="1"/>
  <c r="F148" i="5"/>
  <c r="K148" i="5"/>
  <c r="F183" i="5"/>
  <c r="K183" i="5"/>
  <c r="F33" i="3"/>
  <c r="L33" i="3" s="1"/>
  <c r="K33" i="3"/>
  <c r="F37" i="3"/>
  <c r="L37" i="3" s="1"/>
  <c r="K37" i="3"/>
  <c r="L20" i="3"/>
  <c r="L32" i="3"/>
  <c r="L49" i="3"/>
  <c r="L50" i="3"/>
  <c r="L53" i="3"/>
  <c r="L70" i="3"/>
  <c r="L71" i="3"/>
  <c r="L73" i="3"/>
  <c r="L87" i="3"/>
  <c r="L98" i="3"/>
  <c r="L100" i="3"/>
  <c r="L109" i="3"/>
  <c r="L123" i="3"/>
  <c r="L149" i="3"/>
  <c r="L166" i="3"/>
  <c r="L213" i="3"/>
  <c r="L277" i="3"/>
  <c r="E15" i="5"/>
  <c r="F286" i="5"/>
  <c r="L286" i="5" s="1"/>
  <c r="K286" i="5"/>
  <c r="E31" i="7"/>
  <c r="K68" i="5"/>
  <c r="F68" i="5"/>
  <c r="L68" i="5" s="1"/>
  <c r="E251" i="5"/>
  <c r="H252" i="5"/>
  <c r="F39" i="4" s="1"/>
  <c r="G142" i="3" s="1"/>
  <c r="H142" i="3" s="1"/>
  <c r="K6" i="5"/>
  <c r="F6" i="5"/>
  <c r="L26" i="3"/>
  <c r="L27" i="3"/>
  <c r="L60" i="3"/>
  <c r="L63" i="3"/>
  <c r="L64" i="3"/>
  <c r="L67" i="3"/>
  <c r="L77" i="3"/>
  <c r="L83" i="3"/>
  <c r="L84" i="3"/>
  <c r="L93" i="3"/>
  <c r="L97" i="3"/>
  <c r="L103" i="3"/>
  <c r="L177" i="3"/>
  <c r="L191" i="3"/>
  <c r="K256" i="3"/>
  <c r="F256" i="3"/>
  <c r="L72" i="5"/>
  <c r="K159" i="5"/>
  <c r="L278" i="5"/>
  <c r="K294" i="5"/>
  <c r="F294" i="5"/>
  <c r="L294" i="5" s="1"/>
  <c r="K304" i="5"/>
  <c r="J304" i="5"/>
  <c r="J306" i="5" s="1"/>
  <c r="G48" i="4" s="1"/>
  <c r="I78" i="5" s="1"/>
  <c r="J78" i="5" s="1"/>
  <c r="J348" i="5"/>
  <c r="G55" i="4" s="1"/>
  <c r="I112" i="5" s="1"/>
  <c r="J112" i="5" s="1"/>
  <c r="J115" i="5" s="1"/>
  <c r="G18" i="4" s="1"/>
  <c r="I41" i="3" s="1"/>
  <c r="J41" i="3" s="1"/>
  <c r="F255" i="5"/>
  <c r="L255" i="5" s="1"/>
  <c r="K255" i="5"/>
  <c r="K344" i="5"/>
  <c r="F344" i="5"/>
  <c r="L344" i="5" s="1"/>
  <c r="E135" i="5"/>
  <c r="K135" i="5" s="1"/>
  <c r="E130" i="5"/>
  <c r="I26" i="5"/>
  <c r="J26" i="5" s="1"/>
  <c r="I36" i="5"/>
  <c r="J36" i="5" s="1"/>
  <c r="E384" i="5"/>
  <c r="F384" i="5" s="1"/>
  <c r="E404" i="5"/>
  <c r="F404" i="5" s="1"/>
  <c r="L71" i="5"/>
  <c r="F43" i="5"/>
  <c r="L43" i="5" s="1"/>
  <c r="K43" i="5"/>
  <c r="L6" i="5"/>
  <c r="L25" i="3"/>
  <c r="L28" i="3"/>
  <c r="L69" i="3"/>
  <c r="L82" i="3"/>
  <c r="L85" i="3"/>
  <c r="L114" i="3"/>
  <c r="L125" i="3"/>
  <c r="L176" i="3"/>
  <c r="L183" i="3"/>
  <c r="L193" i="3"/>
  <c r="L194" i="3"/>
  <c r="L196" i="3"/>
  <c r="L197" i="3"/>
  <c r="L209" i="3"/>
  <c r="L212" i="3"/>
  <c r="L219" i="3"/>
  <c r="L92" i="5"/>
  <c r="K119" i="5"/>
  <c r="J295" i="5"/>
  <c r="G46" i="4" s="1"/>
  <c r="I25" i="5" s="1"/>
  <c r="J25" i="5" s="1"/>
  <c r="F410" i="5"/>
  <c r="F412" i="5" s="1"/>
  <c r="K410" i="5"/>
  <c r="E14" i="5"/>
  <c r="E7" i="5"/>
  <c r="F7" i="5" s="1"/>
  <c r="K41" i="5"/>
  <c r="F41" i="5"/>
  <c r="L51" i="3"/>
  <c r="L68" i="3"/>
  <c r="L74" i="3"/>
  <c r="L88" i="3"/>
  <c r="L89" i="3"/>
  <c r="L92" i="3"/>
  <c r="L99" i="3"/>
  <c r="L101" i="3"/>
  <c r="L128" i="3"/>
  <c r="L131" i="3"/>
  <c r="K156" i="3"/>
  <c r="L157" i="3"/>
  <c r="L113" i="5"/>
  <c r="L200" i="3"/>
  <c r="L203" i="3"/>
  <c r="L226" i="3"/>
  <c r="L232" i="3"/>
  <c r="L235" i="3"/>
  <c r="L242" i="3"/>
  <c r="L246" i="3"/>
  <c r="L253" i="3"/>
  <c r="L270" i="3"/>
  <c r="L273" i="3"/>
  <c r="L278" i="3"/>
  <c r="E21" i="5"/>
  <c r="K21" i="5" s="1"/>
  <c r="L102" i="5"/>
  <c r="H195" i="5"/>
  <c r="F29" i="4" s="1"/>
  <c r="G132" i="3" s="1"/>
  <c r="H132" i="3" s="1"/>
  <c r="K199" i="5"/>
  <c r="K228" i="5"/>
  <c r="L234" i="5"/>
  <c r="K285" i="5"/>
  <c r="K293" i="5"/>
  <c r="K309" i="5"/>
  <c r="K368" i="5"/>
  <c r="D50" i="7"/>
  <c r="L248" i="3"/>
  <c r="L260" i="3"/>
  <c r="H99" i="5"/>
  <c r="F15" i="4" s="1"/>
  <c r="G19" i="3" s="1"/>
  <c r="H19" i="3" s="1"/>
  <c r="L119" i="5"/>
  <c r="E144" i="5"/>
  <c r="J219" i="5"/>
  <c r="G33" i="4" s="1"/>
  <c r="I136" i="3" s="1"/>
  <c r="J136" i="3" s="1"/>
  <c r="H312" i="5"/>
  <c r="F49" i="4" s="1"/>
  <c r="G320" i="5" s="1"/>
  <c r="H320" i="5" s="1"/>
  <c r="J341" i="5"/>
  <c r="G54" i="4" s="1"/>
  <c r="I53" i="5" s="1"/>
  <c r="J53" i="5" s="1"/>
  <c r="J54" i="5" s="1"/>
  <c r="G8" i="4" s="1"/>
  <c r="I10" i="3" s="1"/>
  <c r="J10" i="3" s="1"/>
  <c r="H393" i="5"/>
  <c r="F62" i="4" s="1"/>
  <c r="G126" i="5" s="1"/>
  <c r="H126" i="5" s="1"/>
  <c r="H127" i="5" s="1"/>
  <c r="F20" i="4" s="1"/>
  <c r="G43" i="3" s="1"/>
  <c r="H43" i="3" s="1"/>
  <c r="H400" i="5"/>
  <c r="F63" i="4" s="1"/>
  <c r="H4" i="6"/>
  <c r="E30" i="7"/>
  <c r="L198" i="3"/>
  <c r="L202" i="3"/>
  <c r="L214" i="3"/>
  <c r="L234" i="3"/>
  <c r="L247" i="3"/>
  <c r="K113" i="5"/>
  <c r="K186" i="5"/>
  <c r="L194" i="5"/>
  <c r="K210" i="5"/>
  <c r="K244" i="5"/>
  <c r="E257" i="5"/>
  <c r="K257" i="5" s="1"/>
  <c r="J275" i="5"/>
  <c r="G43" i="4" s="1"/>
  <c r="K278" i="5"/>
  <c r="E300" i="5"/>
  <c r="F300" i="5" s="1"/>
  <c r="L300" i="5" s="1"/>
  <c r="J365" i="5"/>
  <c r="G58" i="4" s="1"/>
  <c r="I136" i="5" s="1"/>
  <c r="J136" i="5" s="1"/>
  <c r="J137" i="5" s="1"/>
  <c r="G22" i="4" s="1"/>
  <c r="I45" i="3" s="1"/>
  <c r="J45" i="3" s="1"/>
  <c r="K390" i="5"/>
  <c r="K397" i="5"/>
  <c r="L406" i="5"/>
  <c r="B43" i="7"/>
  <c r="K206" i="3"/>
  <c r="L220" i="3"/>
  <c r="L227" i="3"/>
  <c r="L228" i="3"/>
  <c r="L236" i="3"/>
  <c r="L264" i="3"/>
  <c r="L272" i="3"/>
  <c r="K58" i="5"/>
  <c r="K72" i="5"/>
  <c r="K102" i="5"/>
  <c r="H121" i="5"/>
  <c r="F19" i="4" s="1"/>
  <c r="G42" i="3" s="1"/>
  <c r="H42" i="3" s="1"/>
  <c r="K158" i="5"/>
  <c r="H201" i="5"/>
  <c r="F30" i="4" s="1"/>
  <c r="G133" i="3" s="1"/>
  <c r="H133" i="3" s="1"/>
  <c r="J207" i="5"/>
  <c r="G31" i="4" s="1"/>
  <c r="I134" i="3" s="1"/>
  <c r="J134" i="3" s="1"/>
  <c r="J252" i="5"/>
  <c r="G39" i="4" s="1"/>
  <c r="I142" i="3" s="1"/>
  <c r="J142" i="3" s="1"/>
  <c r="L267" i="5"/>
  <c r="L325" i="5"/>
  <c r="K376" i="5"/>
  <c r="L390" i="5"/>
  <c r="L397" i="5"/>
  <c r="C43" i="7"/>
  <c r="E42" i="7"/>
  <c r="E47" i="7"/>
  <c r="F206" i="3"/>
  <c r="K13" i="5"/>
  <c r="F13" i="5"/>
  <c r="L13" i="5" s="1"/>
  <c r="F22" i="5"/>
  <c r="L22" i="5" s="1"/>
  <c r="K22" i="5"/>
  <c r="F416" i="5"/>
  <c r="L416" i="5" s="1"/>
  <c r="K416" i="5"/>
  <c r="F13" i="4"/>
  <c r="L89" i="5"/>
  <c r="H247" i="5"/>
  <c r="F38" i="4" s="1"/>
  <c r="I246" i="5"/>
  <c r="K345" i="5"/>
  <c r="F345" i="5"/>
  <c r="L345" i="5" s="1"/>
  <c r="F75" i="5"/>
  <c r="L75" i="5" s="1"/>
  <c r="K75" i="5"/>
  <c r="F48" i="5"/>
  <c r="K48" i="5"/>
  <c r="F363" i="5"/>
  <c r="K363" i="5"/>
  <c r="L62" i="3"/>
  <c r="L162" i="3"/>
  <c r="G9" i="3"/>
  <c r="H9" i="3" s="1"/>
  <c r="F96" i="5"/>
  <c r="K96" i="5"/>
  <c r="K426" i="5"/>
  <c r="J426" i="5"/>
  <c r="L426" i="5" s="1"/>
  <c r="K106" i="3"/>
  <c r="F106" i="3"/>
  <c r="K38" i="3"/>
  <c r="F38" i="3"/>
  <c r="L38" i="3" s="1"/>
  <c r="J160" i="5"/>
  <c r="K160" i="5"/>
  <c r="J261" i="5"/>
  <c r="J263" i="5" s="1"/>
  <c r="G41" i="4" s="1"/>
  <c r="I144" i="3" s="1"/>
  <c r="J144" i="3" s="1"/>
  <c r="K261" i="5"/>
  <c r="E316" i="5"/>
  <c r="E23" i="5"/>
  <c r="K347" i="5"/>
  <c r="F347" i="5"/>
  <c r="L347" i="5" s="1"/>
  <c r="K24" i="5"/>
  <c r="F24" i="5"/>
  <c r="L24" i="5" s="1"/>
  <c r="F181" i="3"/>
  <c r="K181" i="3"/>
  <c r="F70" i="5"/>
  <c r="L70" i="5" s="1"/>
  <c r="K70" i="5"/>
  <c r="K34" i="3"/>
  <c r="F34" i="3"/>
  <c r="L34" i="3" s="1"/>
  <c r="K36" i="3"/>
  <c r="K12" i="3"/>
  <c r="H12" i="3"/>
  <c r="L12" i="3" s="1"/>
  <c r="F31" i="3"/>
  <c r="F35" i="3"/>
  <c r="L35" i="3" s="1"/>
  <c r="L259" i="3"/>
  <c r="F44" i="5"/>
  <c r="L44" i="5" s="1"/>
  <c r="F34" i="5"/>
  <c r="L34" i="5" s="1"/>
  <c r="K34" i="5"/>
  <c r="K188" i="5"/>
  <c r="F188" i="5"/>
  <c r="L188" i="5" s="1"/>
  <c r="K164" i="5"/>
  <c r="F164" i="5"/>
  <c r="L164" i="5" s="1"/>
  <c r="K13" i="3"/>
  <c r="L118" i="3"/>
  <c r="L186" i="3"/>
  <c r="L206" i="3"/>
  <c r="K259" i="3"/>
  <c r="H259" i="3"/>
  <c r="L42" i="5"/>
  <c r="J79" i="5"/>
  <c r="G11" i="4" s="1"/>
  <c r="I15" i="3" s="1"/>
  <c r="J15" i="3" s="1"/>
  <c r="J157" i="5"/>
  <c r="J165" i="5" s="1"/>
  <c r="G25" i="4" s="1"/>
  <c r="I48" i="3" s="1"/>
  <c r="J48" i="3" s="1"/>
  <c r="K157" i="5"/>
  <c r="F163" i="5"/>
  <c r="L163" i="5" s="1"/>
  <c r="K163" i="5"/>
  <c r="K204" i="5"/>
  <c r="H204" i="5"/>
  <c r="L90" i="3"/>
  <c r="L95" i="3"/>
  <c r="L160" i="3"/>
  <c r="L217" i="3"/>
  <c r="L251" i="3"/>
  <c r="E139" i="3"/>
  <c r="F14" i="5"/>
  <c r="E6" i="4"/>
  <c r="L51" i="5"/>
  <c r="K59" i="5"/>
  <c r="F59" i="5"/>
  <c r="K69" i="5"/>
  <c r="F69" i="5"/>
  <c r="F135" i="5"/>
  <c r="J198" i="5"/>
  <c r="J201" i="5" s="1"/>
  <c r="G30" i="4" s="1"/>
  <c r="I133" i="3" s="1"/>
  <c r="J133" i="3" s="1"/>
  <c r="K198" i="5"/>
  <c r="J336" i="5"/>
  <c r="G53" i="4" s="1"/>
  <c r="I29" i="5" s="1"/>
  <c r="J29" i="5" s="1"/>
  <c r="F174" i="5"/>
  <c r="K174" i="5"/>
  <c r="F182" i="3"/>
  <c r="L182" i="3" s="1"/>
  <c r="K74" i="5"/>
  <c r="F74" i="5"/>
  <c r="L74" i="5" s="1"/>
  <c r="L84" i="5"/>
  <c r="L285" i="5"/>
  <c r="K357" i="5"/>
  <c r="H357" i="5"/>
  <c r="F419" i="5"/>
  <c r="L419" i="5" s="1"/>
  <c r="K419" i="5"/>
  <c r="H20" i="5"/>
  <c r="L20" i="5" s="1"/>
  <c r="K20" i="5"/>
  <c r="K120" i="5"/>
  <c r="F120" i="5"/>
  <c r="L120" i="5" s="1"/>
  <c r="F211" i="5"/>
  <c r="L211" i="5" s="1"/>
  <c r="K211" i="5"/>
  <c r="F292" i="5"/>
  <c r="K292" i="5"/>
  <c r="L124" i="3"/>
  <c r="L150" i="3"/>
  <c r="F179" i="3"/>
  <c r="L271" i="3"/>
  <c r="K42" i="5"/>
  <c r="L49" i="5"/>
  <c r="K51" i="5"/>
  <c r="K57" i="5"/>
  <c r="J57" i="5"/>
  <c r="L57" i="5" s="1"/>
  <c r="K84" i="5"/>
  <c r="F288" i="5"/>
  <c r="L288" i="5" s="1"/>
  <c r="K288" i="5"/>
  <c r="H321" i="5"/>
  <c r="F50" i="4" s="1"/>
  <c r="G63" i="5" s="1"/>
  <c r="H63" i="5" s="1"/>
  <c r="F15" i="5"/>
  <c r="J93" i="5"/>
  <c r="G14" i="4" s="1"/>
  <c r="I18" i="3" s="1"/>
  <c r="J18" i="3" s="1"/>
  <c r="L18" i="3" s="1"/>
  <c r="K187" i="5"/>
  <c r="F187" i="5"/>
  <c r="L187" i="5" s="1"/>
  <c r="H269" i="5"/>
  <c r="F42" i="4" s="1"/>
  <c r="F229" i="3"/>
  <c r="K258" i="3"/>
  <c r="H258" i="3"/>
  <c r="H279" i="3" s="1"/>
  <c r="G17" i="2" s="1"/>
  <c r="H17" i="2" s="1"/>
  <c r="E5" i="4"/>
  <c r="K46" i="5"/>
  <c r="F46" i="5"/>
  <c r="L46" i="5" s="1"/>
  <c r="F52" i="5"/>
  <c r="L52" i="5" s="1"/>
  <c r="K326" i="5"/>
  <c r="F326" i="5"/>
  <c r="L326" i="5" s="1"/>
  <c r="F340" i="5"/>
  <c r="L340" i="5" s="1"/>
  <c r="K340" i="5"/>
  <c r="F383" i="5"/>
  <c r="L383" i="5" s="1"/>
  <c r="K383" i="5"/>
  <c r="L112" i="3"/>
  <c r="L117" i="3"/>
  <c r="L174" i="3"/>
  <c r="L261" i="3"/>
  <c r="L266" i="3"/>
  <c r="F10" i="5"/>
  <c r="K49" i="5"/>
  <c r="K124" i="5"/>
  <c r="F124" i="5"/>
  <c r="K149" i="5"/>
  <c r="F149" i="5"/>
  <c r="L149" i="5" s="1"/>
  <c r="F184" i="5"/>
  <c r="K184" i="5"/>
  <c r="K279" i="5"/>
  <c r="H279" i="5"/>
  <c r="H204" i="3"/>
  <c r="G14" i="2" s="1"/>
  <c r="H14" i="2" s="1"/>
  <c r="L210" i="3"/>
  <c r="L239" i="3"/>
  <c r="L244" i="3"/>
  <c r="J279" i="3"/>
  <c r="I17" i="2" s="1"/>
  <c r="J17" i="2" s="1"/>
  <c r="L41" i="5"/>
  <c r="F76" i="5"/>
  <c r="L76" i="5" s="1"/>
  <c r="K88" i="5"/>
  <c r="K103" i="5"/>
  <c r="F103" i="5"/>
  <c r="L103" i="5" s="1"/>
  <c r="L157" i="5"/>
  <c r="L266" i="5"/>
  <c r="L167" i="3"/>
  <c r="L172" i="3"/>
  <c r="L188" i="3"/>
  <c r="L256" i="3"/>
  <c r="I179" i="5"/>
  <c r="J179" i="5" s="1"/>
  <c r="I170" i="5"/>
  <c r="J170" i="5" s="1"/>
  <c r="J171" i="5" s="1"/>
  <c r="G26" i="4" s="1"/>
  <c r="I56" i="3" s="1"/>
  <c r="J56" i="3" s="1"/>
  <c r="I178" i="5"/>
  <c r="J178" i="5" s="1"/>
  <c r="J180" i="5" s="1"/>
  <c r="G27" i="4" s="1"/>
  <c r="I57" i="3" s="1"/>
  <c r="J57" i="3" s="1"/>
  <c r="H79" i="5"/>
  <c r="F11" i="4" s="1"/>
  <c r="G15" i="3" s="1"/>
  <c r="H15" i="3" s="1"/>
  <c r="L160" i="5"/>
  <c r="F305" i="5"/>
  <c r="L305" i="5" s="1"/>
  <c r="K305" i="5"/>
  <c r="L88" i="5"/>
  <c r="J145" i="5"/>
  <c r="G23" i="4" s="1"/>
  <c r="I46" i="3" s="1"/>
  <c r="J46" i="3" s="1"/>
  <c r="K177" i="5"/>
  <c r="F177" i="5"/>
  <c r="L177" i="5" s="1"/>
  <c r="F263" i="5"/>
  <c r="L261" i="5"/>
  <c r="L299" i="5"/>
  <c r="E385" i="5"/>
  <c r="L384" i="5"/>
  <c r="K185" i="5"/>
  <c r="F185" i="5"/>
  <c r="L185" i="5" s="1"/>
  <c r="E175" i="5"/>
  <c r="E168" i="5"/>
  <c r="E176" i="5"/>
  <c r="L186" i="5"/>
  <c r="L317" i="5"/>
  <c r="K417" i="5"/>
  <c r="F417" i="5"/>
  <c r="L417" i="5" s="1"/>
  <c r="K334" i="5"/>
  <c r="F334" i="5"/>
  <c r="G15" i="5"/>
  <c r="H15" i="5" s="1"/>
  <c r="F231" i="3"/>
  <c r="F257" i="3"/>
  <c r="G136" i="5"/>
  <c r="H136" i="5" s="1"/>
  <c r="H137" i="5" s="1"/>
  <c r="F22" i="4" s="1"/>
  <c r="G45" i="3" s="1"/>
  <c r="H45" i="3" s="1"/>
  <c r="G131" i="5"/>
  <c r="H131" i="5" s="1"/>
  <c r="H132" i="5" s="1"/>
  <c r="F21" i="4" s="1"/>
  <c r="G44" i="3" s="1"/>
  <c r="H44" i="3" s="1"/>
  <c r="I35" i="5"/>
  <c r="J35" i="5" s="1"/>
  <c r="L410" i="5"/>
  <c r="I131" i="5"/>
  <c r="J131" i="5" s="1"/>
  <c r="J132" i="5" s="1"/>
  <c r="G21" i="4" s="1"/>
  <c r="I44" i="3" s="1"/>
  <c r="J44" i="3" s="1"/>
  <c r="H54" i="5"/>
  <c r="F8" i="4" s="1"/>
  <c r="G10" i="3" s="1"/>
  <c r="H10" i="3" s="1"/>
  <c r="F45" i="5"/>
  <c r="F73" i="5"/>
  <c r="L73" i="5" s="1"/>
  <c r="F169" i="5"/>
  <c r="L169" i="5" s="1"/>
  <c r="K169" i="5"/>
  <c r="K200" i="5"/>
  <c r="F200" i="5"/>
  <c r="L200" i="5" s="1"/>
  <c r="H213" i="5"/>
  <c r="F32" i="4" s="1"/>
  <c r="G135" i="3" s="1"/>
  <c r="H135" i="3" s="1"/>
  <c r="E212" i="5"/>
  <c r="K216" i="5"/>
  <c r="F216" i="5"/>
  <c r="J224" i="5"/>
  <c r="J225" i="5" s="1"/>
  <c r="G34" i="4" s="1"/>
  <c r="I137" i="3" s="1"/>
  <c r="J137" i="3" s="1"/>
  <c r="L309" i="5"/>
  <c r="F312" i="5"/>
  <c r="K317" i="5"/>
  <c r="K114" i="5"/>
  <c r="L125" i="5"/>
  <c r="K142" i="5"/>
  <c r="F142" i="5"/>
  <c r="L142" i="5" s="1"/>
  <c r="H219" i="5"/>
  <c r="F33" i="4" s="1"/>
  <c r="G136" i="3" s="1"/>
  <c r="H136" i="3" s="1"/>
  <c r="H225" i="5"/>
  <c r="F34" i="4" s="1"/>
  <c r="G137" i="3" s="1"/>
  <c r="H137" i="3" s="1"/>
  <c r="F272" i="5"/>
  <c r="K272" i="5"/>
  <c r="H295" i="5"/>
  <c r="F46" i="4" s="1"/>
  <c r="H105" i="5"/>
  <c r="F16" i="4" s="1"/>
  <c r="G39" i="3" s="1"/>
  <c r="H39" i="3" s="1"/>
  <c r="E104" i="5"/>
  <c r="K150" i="5"/>
  <c r="H150" i="5"/>
  <c r="E152" i="5" s="1"/>
  <c r="K298" i="5"/>
  <c r="F298" i="5"/>
  <c r="I311" i="5"/>
  <c r="H336" i="5"/>
  <c r="F53" i="4" s="1"/>
  <c r="G29" i="5" s="1"/>
  <c r="H29" i="5" s="1"/>
  <c r="L425" i="5"/>
  <c r="H358" i="5"/>
  <c r="L358" i="5" s="1"/>
  <c r="J105" i="5"/>
  <c r="G16" i="4" s="1"/>
  <c r="I39" i="3" s="1"/>
  <c r="J39" i="3" s="1"/>
  <c r="K118" i="5"/>
  <c r="F118" i="5"/>
  <c r="F140" i="5"/>
  <c r="K140" i="5"/>
  <c r="F151" i="5"/>
  <c r="L151" i="5" s="1"/>
  <c r="K151" i="5"/>
  <c r="L244" i="5"/>
  <c r="F257" i="5"/>
  <c r="L257" i="5" s="1"/>
  <c r="H301" i="5"/>
  <c r="F47" i="4" s="1"/>
  <c r="K319" i="5"/>
  <c r="F319" i="5"/>
  <c r="L319" i="5" s="1"/>
  <c r="F339" i="5"/>
  <c r="K339" i="5"/>
  <c r="E353" i="5"/>
  <c r="K125" i="5"/>
  <c r="H165" i="5"/>
  <c r="F25" i="4" s="1"/>
  <c r="G48" i="3" s="1"/>
  <c r="H48" i="3" s="1"/>
  <c r="K205" i="5"/>
  <c r="F239" i="5"/>
  <c r="K239" i="5"/>
  <c r="F310" i="5"/>
  <c r="L310" i="5" s="1"/>
  <c r="K310" i="5"/>
  <c r="J386" i="5"/>
  <c r="G61" i="4" s="1"/>
  <c r="I108" i="5" s="1"/>
  <c r="J108" i="5" s="1"/>
  <c r="J109" i="5" s="1"/>
  <c r="G17" i="4" s="1"/>
  <c r="I40" i="3" s="1"/>
  <c r="J40" i="3" s="1"/>
  <c r="L382" i="5"/>
  <c r="K92" i="5"/>
  <c r="K141" i="5"/>
  <c r="L162" i="5"/>
  <c r="K325" i="5"/>
  <c r="J354" i="5"/>
  <c r="G56" i="4" s="1"/>
  <c r="I98" i="5" s="1"/>
  <c r="J98" i="5" s="1"/>
  <c r="J99" i="5" s="1"/>
  <c r="G15" i="4" s="1"/>
  <c r="I19" i="3" s="1"/>
  <c r="J19" i="3" s="1"/>
  <c r="E427" i="5"/>
  <c r="F225" i="5"/>
  <c r="L222" i="5"/>
  <c r="K229" i="5"/>
  <c r="H229" i="5"/>
  <c r="H231" i="5" s="1"/>
  <c r="F35" i="4" s="1"/>
  <c r="G138" i="3" s="1"/>
  <c r="H138" i="3" s="1"/>
  <c r="J236" i="5"/>
  <c r="G36" i="4" s="1"/>
  <c r="I139" i="3" s="1"/>
  <c r="J139" i="3" s="1"/>
  <c r="L315" i="5"/>
  <c r="L352" i="5"/>
  <c r="H372" i="5"/>
  <c r="F59" i="4" s="1"/>
  <c r="F375" i="5"/>
  <c r="K375" i="5"/>
  <c r="K436" i="5"/>
  <c r="F396" i="5"/>
  <c r="K396" i="5"/>
  <c r="F420" i="5"/>
  <c r="L420" i="5" s="1"/>
  <c r="K420" i="5"/>
  <c r="F437" i="5"/>
  <c r="L436" i="5"/>
  <c r="L183" i="5"/>
  <c r="L193" i="5"/>
  <c r="F195" i="5"/>
  <c r="L210" i="5"/>
  <c r="K262" i="5"/>
  <c r="F318" i="5"/>
  <c r="L318" i="5" s="1"/>
  <c r="J379" i="5"/>
  <c r="G60" i="4" s="1"/>
  <c r="I268" i="5" s="1"/>
  <c r="J268" i="5" s="1"/>
  <c r="J269" i="5" s="1"/>
  <c r="G42" i="4" s="1"/>
  <c r="K389" i="5"/>
  <c r="L143" i="5"/>
  <c r="L159" i="5"/>
  <c r="K161" i="5"/>
  <c r="K217" i="5"/>
  <c r="H217" i="5"/>
  <c r="E218" i="5" s="1"/>
  <c r="L228" i="5"/>
  <c r="F231" i="5"/>
  <c r="L250" i="5"/>
  <c r="F258" i="5"/>
  <c r="K267" i="5"/>
  <c r="L369" i="5"/>
  <c r="L148" i="5"/>
  <c r="K222" i="5"/>
  <c r="K235" i="5"/>
  <c r="H235" i="5"/>
  <c r="L235" i="5" s="1"/>
  <c r="L240" i="5"/>
  <c r="K245" i="5"/>
  <c r="E281" i="5"/>
  <c r="K351" i="5"/>
  <c r="K382" i="5"/>
  <c r="J400" i="5"/>
  <c r="G63" i="4" s="1"/>
  <c r="L411" i="5"/>
  <c r="K384" i="5"/>
  <c r="F324" i="5"/>
  <c r="K324" i="5"/>
  <c r="K315" i="5"/>
  <c r="L415" i="5"/>
  <c r="J190" i="5"/>
  <c r="G28" i="4" s="1"/>
  <c r="I81" i="3" s="1"/>
  <c r="J81" i="3" s="1"/>
  <c r="J104" i="3" s="1"/>
  <c r="I10" i="2" s="1"/>
  <c r="J10" i="2" s="1"/>
  <c r="L223" i="5"/>
  <c r="L245" i="5"/>
  <c r="K266" i="5"/>
  <c r="H327" i="5"/>
  <c r="F51" i="4" s="1"/>
  <c r="G64" i="5" s="1"/>
  <c r="H64" i="5" s="1"/>
  <c r="F346" i="5"/>
  <c r="L346" i="5" s="1"/>
  <c r="K346" i="5"/>
  <c r="L351" i="5"/>
  <c r="J258" i="5"/>
  <c r="G40" i="4" s="1"/>
  <c r="I143" i="3" s="1"/>
  <c r="J143" i="3" s="1"/>
  <c r="K273" i="5"/>
  <c r="H273" i="5"/>
  <c r="E274" i="5" s="1"/>
  <c r="L304" i="5"/>
  <c r="F306" i="5"/>
  <c r="K330" i="5"/>
  <c r="F330" i="5"/>
  <c r="H386" i="5"/>
  <c r="F61" i="4" s="1"/>
  <c r="G108" i="5" s="1"/>
  <c r="H108" i="5" s="1"/>
  <c r="H109" i="5" s="1"/>
  <c r="F17" i="4" s="1"/>
  <c r="G40" i="3" s="1"/>
  <c r="H40" i="3" s="1"/>
  <c r="K403" i="5"/>
  <c r="H403" i="5"/>
  <c r="H407" i="5" s="1"/>
  <c r="F64" i="4" s="1"/>
  <c r="E29" i="7"/>
  <c r="C32" i="7"/>
  <c r="C51" i="7" s="1"/>
  <c r="J422" i="5"/>
  <c r="G66" i="4" s="1"/>
  <c r="I82" i="5" s="1"/>
  <c r="J82" i="5" s="1"/>
  <c r="J85" i="5" s="1"/>
  <c r="G12" i="4" s="1"/>
  <c r="I16" i="3" s="1"/>
  <c r="J16" i="3" s="1"/>
  <c r="K299" i="5"/>
  <c r="K369" i="5"/>
  <c r="E32" i="7"/>
  <c r="E41" i="7"/>
  <c r="K223" i="5"/>
  <c r="H428" i="5"/>
  <c r="F67" i="4" s="1"/>
  <c r="G431" i="5" s="1"/>
  <c r="H431" i="5" s="1"/>
  <c r="H433" i="5" s="1"/>
  <c r="F68" i="4" s="1"/>
  <c r="G153" i="5" s="1"/>
  <c r="H153" i="5" s="1"/>
  <c r="H154" i="5" s="1"/>
  <c r="F24" i="4" s="1"/>
  <c r="G47" i="3" s="1"/>
  <c r="H47" i="3" s="1"/>
  <c r="F158" i="5"/>
  <c r="F161" i="5"/>
  <c r="L161" i="5" s="1"/>
  <c r="F199" i="5"/>
  <c r="L199" i="5" s="1"/>
  <c r="F256" i="5"/>
  <c r="L256" i="5" s="1"/>
  <c r="K352" i="5"/>
  <c r="L404" i="5"/>
  <c r="H422" i="5"/>
  <c r="F66" i="4" s="1"/>
  <c r="G82" i="5" s="1"/>
  <c r="H82" i="5" s="1"/>
  <c r="K418" i="5"/>
  <c r="F368" i="5"/>
  <c r="E370" i="5"/>
  <c r="K411" i="5"/>
  <c r="E398" i="5"/>
  <c r="E377" i="5"/>
  <c r="K415" i="5"/>
  <c r="K240" i="5"/>
  <c r="K404" i="5"/>
  <c r="F418" i="5"/>
  <c r="L418" i="5" s="1"/>
  <c r="D43" i="7"/>
  <c r="D51" i="7" s="1"/>
  <c r="H263" i="5"/>
  <c r="F41" i="4" s="1"/>
  <c r="G144" i="3" s="1"/>
  <c r="H144" i="3" s="1"/>
  <c r="L279" i="5"/>
  <c r="E391" i="5"/>
  <c r="E405" i="5"/>
  <c r="K425" i="5"/>
  <c r="I370" i="5"/>
  <c r="J370" i="5" s="1"/>
  <c r="J372" i="5" s="1"/>
  <c r="G59" i="4" s="1"/>
  <c r="I404" i="5"/>
  <c r="J404" i="5" s="1"/>
  <c r="J407" i="5" s="1"/>
  <c r="G64" i="4" s="1"/>
  <c r="I391" i="5"/>
  <c r="J391" i="5" s="1"/>
  <c r="J393" i="5" s="1"/>
  <c r="G62" i="4" s="1"/>
  <c r="I126" i="5" s="1"/>
  <c r="J126" i="5" s="1"/>
  <c r="J127" i="5" s="1"/>
  <c r="G20" i="4" s="1"/>
  <c r="I43" i="3" s="1"/>
  <c r="J43" i="3" s="1"/>
  <c r="B50" i="7"/>
  <c r="E50" i="7" s="1"/>
  <c r="J79" i="3" l="1"/>
  <c r="I9" i="2" s="1"/>
  <c r="J9" i="2" s="1"/>
  <c r="K251" i="5"/>
  <c r="F251" i="5"/>
  <c r="H236" i="5"/>
  <c r="F36" i="4" s="1"/>
  <c r="G139" i="3" s="1"/>
  <c r="H139" i="3" s="1"/>
  <c r="H275" i="5"/>
  <c r="F43" i="4" s="1"/>
  <c r="K300" i="5"/>
  <c r="K144" i="5"/>
  <c r="F144" i="5"/>
  <c r="L144" i="5" s="1"/>
  <c r="L150" i="5"/>
  <c r="I230" i="5"/>
  <c r="F21" i="5"/>
  <c r="L21" i="5" s="1"/>
  <c r="K130" i="5"/>
  <c r="F130" i="5"/>
  <c r="L130" i="5" s="1"/>
  <c r="H54" i="3"/>
  <c r="G8" i="2" s="1"/>
  <c r="H8" i="2" s="1"/>
  <c r="F274" i="5"/>
  <c r="L274" i="5" s="1"/>
  <c r="K274" i="5"/>
  <c r="I445" i="5"/>
  <c r="J445" i="5" s="1"/>
  <c r="I440" i="5"/>
  <c r="J440" i="5" s="1"/>
  <c r="F129" i="3"/>
  <c r="L106" i="3"/>
  <c r="F365" i="5"/>
  <c r="L363" i="5"/>
  <c r="J311" i="5"/>
  <c r="K311" i="5"/>
  <c r="E35" i="4"/>
  <c r="K353" i="5"/>
  <c r="F353" i="5"/>
  <c r="F301" i="5"/>
  <c r="L298" i="5"/>
  <c r="L216" i="5"/>
  <c r="K175" i="5"/>
  <c r="F175" i="5"/>
  <c r="L175" i="5" s="1"/>
  <c r="E47" i="5"/>
  <c r="F139" i="3"/>
  <c r="L139" i="3" s="1"/>
  <c r="K139" i="3"/>
  <c r="J428" i="5"/>
  <c r="G67" i="4" s="1"/>
  <c r="I431" i="5" s="1"/>
  <c r="J431" i="5" s="1"/>
  <c r="J433" i="5" s="1"/>
  <c r="G68" i="4" s="1"/>
  <c r="I153" i="5" s="1"/>
  <c r="J153" i="5" s="1"/>
  <c r="J154" i="5" s="1"/>
  <c r="G24" i="4" s="1"/>
  <c r="I47" i="3" s="1"/>
  <c r="J47" i="3" s="1"/>
  <c r="J54" i="3" s="1"/>
  <c r="I8" i="2" s="1"/>
  <c r="J8" i="2" s="1"/>
  <c r="L48" i="5"/>
  <c r="E50" i="5"/>
  <c r="G280" i="5"/>
  <c r="H280" i="5" s="1"/>
  <c r="H282" i="5" s="1"/>
  <c r="F44" i="4" s="1"/>
  <c r="G27" i="5" s="1"/>
  <c r="H27" i="5" s="1"/>
  <c r="G287" i="5"/>
  <c r="H287" i="5" s="1"/>
  <c r="H289" i="5" s="1"/>
  <c r="F45" i="4" s="1"/>
  <c r="G28" i="5" s="1"/>
  <c r="H28" i="5" s="1"/>
  <c r="H207" i="5"/>
  <c r="F31" i="4" s="1"/>
  <c r="G134" i="3" s="1"/>
  <c r="H134" i="3" s="1"/>
  <c r="E206" i="5"/>
  <c r="L368" i="5"/>
  <c r="L45" i="5"/>
  <c r="L204" i="5"/>
  <c r="K168" i="5"/>
  <c r="F168" i="5"/>
  <c r="K316" i="5"/>
  <c r="F316" i="5"/>
  <c r="L324" i="5"/>
  <c r="F327" i="5"/>
  <c r="B51" i="7"/>
  <c r="E51" i="7" s="1"/>
  <c r="F331" i="5"/>
  <c r="L330" i="5"/>
  <c r="L412" i="5"/>
  <c r="E65" i="4"/>
  <c r="L224" i="5"/>
  <c r="E7" i="3"/>
  <c r="L258" i="3"/>
  <c r="L69" i="5"/>
  <c r="L158" i="5"/>
  <c r="F165" i="5"/>
  <c r="L263" i="5"/>
  <c r="E41" i="4"/>
  <c r="H14" i="4"/>
  <c r="I287" i="5"/>
  <c r="J287" i="5" s="1"/>
  <c r="J289" i="5" s="1"/>
  <c r="G45" i="4" s="1"/>
  <c r="I28" i="5" s="1"/>
  <c r="J28" i="5" s="1"/>
  <c r="I280" i="5"/>
  <c r="J280" i="5" s="1"/>
  <c r="J282" i="5" s="1"/>
  <c r="G44" i="4" s="1"/>
  <c r="I27" i="5" s="1"/>
  <c r="J27" i="5" s="1"/>
  <c r="L339" i="5"/>
  <c r="F341" i="5"/>
  <c r="L140" i="5"/>
  <c r="F145" i="5"/>
  <c r="F152" i="5"/>
  <c r="K152" i="5"/>
  <c r="F212" i="5"/>
  <c r="K212" i="5"/>
  <c r="H65" i="5"/>
  <c r="F10" i="4" s="1"/>
  <c r="G14" i="3" s="1"/>
  <c r="H14" i="3" s="1"/>
  <c r="L96" i="5"/>
  <c r="E97" i="5"/>
  <c r="E49" i="4"/>
  <c r="F275" i="5"/>
  <c r="L272" i="5"/>
  <c r="L135" i="5"/>
  <c r="L306" i="5"/>
  <c r="E48" i="4"/>
  <c r="K218" i="5"/>
  <c r="F218" i="5"/>
  <c r="L218" i="5" s="1"/>
  <c r="L217" i="5"/>
  <c r="L225" i="5"/>
  <c r="E34" i="4"/>
  <c r="L118" i="5"/>
  <c r="F121" i="5"/>
  <c r="L124" i="5"/>
  <c r="L59" i="5"/>
  <c r="F60" i="5"/>
  <c r="K18" i="3"/>
  <c r="L198" i="5"/>
  <c r="L257" i="3"/>
  <c r="F279" i="3"/>
  <c r="L231" i="3"/>
  <c r="F254" i="3"/>
  <c r="L184" i="5"/>
  <c r="L273" i="5"/>
  <c r="L396" i="5"/>
  <c r="L403" i="5"/>
  <c r="E43" i="7"/>
  <c r="F104" i="5"/>
  <c r="L104" i="5" s="1"/>
  <c r="K104" i="5"/>
  <c r="L334" i="5"/>
  <c r="K385" i="5"/>
  <c r="F385" i="5"/>
  <c r="L181" i="3"/>
  <c r="F204" i="3"/>
  <c r="F201" i="5"/>
  <c r="L258" i="5"/>
  <c r="E40" i="4"/>
  <c r="L236" i="5"/>
  <c r="L292" i="5"/>
  <c r="F295" i="5"/>
  <c r="H13" i="4"/>
  <c r="G17" i="3"/>
  <c r="J230" i="5"/>
  <c r="K230" i="5"/>
  <c r="K377" i="5"/>
  <c r="F377" i="5"/>
  <c r="G36" i="5"/>
  <c r="H36" i="5" s="1"/>
  <c r="G26" i="5"/>
  <c r="H26" i="5" s="1"/>
  <c r="L229" i="3"/>
  <c r="E15" i="2"/>
  <c r="L229" i="5"/>
  <c r="L179" i="3"/>
  <c r="E13" i="2"/>
  <c r="L174" i="5"/>
  <c r="L31" i="3"/>
  <c r="K246" i="5"/>
  <c r="J246" i="5"/>
  <c r="E4" i="4"/>
  <c r="F176" i="5"/>
  <c r="L176" i="5" s="1"/>
  <c r="K176" i="5"/>
  <c r="G83" i="5"/>
  <c r="H36" i="4"/>
  <c r="K405" i="5"/>
  <c r="F405" i="5"/>
  <c r="K398" i="5"/>
  <c r="F398" i="5"/>
  <c r="L195" i="5"/>
  <c r="E29" i="4"/>
  <c r="F427" i="5"/>
  <c r="K427" i="5"/>
  <c r="F348" i="5"/>
  <c r="G440" i="5"/>
  <c r="H440" i="5" s="1"/>
  <c r="G445" i="5"/>
  <c r="H445" i="5" s="1"/>
  <c r="G141" i="3"/>
  <c r="F370" i="5"/>
  <c r="K370" i="5"/>
  <c r="L437" i="5"/>
  <c r="E69" i="4"/>
  <c r="G170" i="5"/>
  <c r="H170" i="5" s="1"/>
  <c r="H171" i="5" s="1"/>
  <c r="F26" i="4" s="1"/>
  <c r="G56" i="3" s="1"/>
  <c r="H56" i="3" s="1"/>
  <c r="G178" i="5"/>
  <c r="H178" i="5" s="1"/>
  <c r="G179" i="5"/>
  <c r="H179" i="5" s="1"/>
  <c r="K23" i="5"/>
  <c r="F23" i="5"/>
  <c r="L23" i="5" s="1"/>
  <c r="F391" i="5"/>
  <c r="K391" i="5"/>
  <c r="K281" i="5"/>
  <c r="F281" i="5"/>
  <c r="L281" i="5" s="1"/>
  <c r="L375" i="5"/>
  <c r="L239" i="5"/>
  <c r="F241" i="5"/>
  <c r="G25" i="5"/>
  <c r="H25" i="5" s="1"/>
  <c r="G35" i="5"/>
  <c r="H35" i="5" s="1"/>
  <c r="L93" i="5"/>
  <c r="E359" i="5"/>
  <c r="H360" i="5"/>
  <c r="F57" i="4" s="1"/>
  <c r="G189" i="5" s="1"/>
  <c r="H189" i="5" s="1"/>
  <c r="H190" i="5" s="1"/>
  <c r="F28" i="4" s="1"/>
  <c r="G81" i="3" s="1"/>
  <c r="H81" i="3" s="1"/>
  <c r="H104" i="3" s="1"/>
  <c r="G10" i="2" s="1"/>
  <c r="H10" i="2" s="1"/>
  <c r="L357" i="5"/>
  <c r="E8" i="3"/>
  <c r="L251" i="5" l="1"/>
  <c r="F252" i="5"/>
  <c r="F219" i="5"/>
  <c r="E33" i="4" s="1"/>
  <c r="J231" i="5"/>
  <c r="L230" i="5"/>
  <c r="L254" i="3"/>
  <c r="E16" i="2"/>
  <c r="E320" i="5"/>
  <c r="L341" i="5"/>
  <c r="E54" i="4"/>
  <c r="K50" i="5"/>
  <c r="F50" i="5"/>
  <c r="L50" i="5" s="1"/>
  <c r="L275" i="5"/>
  <c r="E43" i="4"/>
  <c r="H17" i="3"/>
  <c r="L17" i="3" s="1"/>
  <c r="K17" i="3"/>
  <c r="H34" i="4"/>
  <c r="E137" i="3"/>
  <c r="F7" i="3"/>
  <c r="L168" i="5"/>
  <c r="L301" i="5"/>
  <c r="E47" i="4"/>
  <c r="L129" i="3"/>
  <c r="E11" i="2"/>
  <c r="L327" i="5"/>
  <c r="E51" i="4"/>
  <c r="L145" i="5"/>
  <c r="E23" i="4"/>
  <c r="L121" i="5"/>
  <c r="E19" i="4"/>
  <c r="L353" i="5"/>
  <c r="F354" i="5"/>
  <c r="L370" i="5"/>
  <c r="E371" i="5"/>
  <c r="L365" i="5"/>
  <c r="E58" i="4"/>
  <c r="H141" i="3"/>
  <c r="H180" i="5"/>
  <c r="F27" i="4" s="1"/>
  <c r="G57" i="3" s="1"/>
  <c r="H57" i="3" s="1"/>
  <c r="H79" i="3" s="1"/>
  <c r="G9" i="2" s="1"/>
  <c r="H9" i="2" s="1"/>
  <c r="K97" i="5"/>
  <c r="F97" i="5"/>
  <c r="E421" i="5"/>
  <c r="H65" i="4"/>
  <c r="E138" i="3"/>
  <c r="L204" i="3"/>
  <c r="E14" i="2"/>
  <c r="K359" i="5"/>
  <c r="F359" i="5"/>
  <c r="L279" i="3"/>
  <c r="E17" i="2"/>
  <c r="L427" i="5"/>
  <c r="F428" i="5"/>
  <c r="E6" i="3"/>
  <c r="K15" i="2"/>
  <c r="F15" i="2"/>
  <c r="L15" i="2" s="1"/>
  <c r="E27" i="1" s="1"/>
  <c r="F105" i="5"/>
  <c r="L385" i="5"/>
  <c r="F386" i="5"/>
  <c r="L348" i="5"/>
  <c r="E55" i="4"/>
  <c r="L295" i="5"/>
  <c r="E46" i="4"/>
  <c r="E37" i="4"/>
  <c r="L241" i="5"/>
  <c r="E432" i="5"/>
  <c r="H69" i="4"/>
  <c r="H29" i="4"/>
  <c r="E132" i="3"/>
  <c r="E143" i="3"/>
  <c r="H40" i="4"/>
  <c r="H48" i="4"/>
  <c r="E78" i="5"/>
  <c r="H41" i="4"/>
  <c r="E144" i="3"/>
  <c r="L377" i="5"/>
  <c r="E378" i="5"/>
  <c r="L152" i="5"/>
  <c r="L391" i="5"/>
  <c r="E392" i="5"/>
  <c r="H83" i="5"/>
  <c r="K83" i="5"/>
  <c r="F8" i="3"/>
  <c r="J247" i="5"/>
  <c r="L246" i="5"/>
  <c r="L60" i="5"/>
  <c r="E9" i="4"/>
  <c r="L212" i="5"/>
  <c r="F213" i="5"/>
  <c r="L331" i="5"/>
  <c r="E52" i="4"/>
  <c r="K47" i="5"/>
  <c r="F47" i="5"/>
  <c r="J312" i="5"/>
  <c r="L311" i="5"/>
  <c r="L405" i="5"/>
  <c r="F407" i="5"/>
  <c r="L316" i="5"/>
  <c r="F13" i="2"/>
  <c r="L13" i="2" s="1"/>
  <c r="K13" i="2"/>
  <c r="E399" i="5"/>
  <c r="L398" i="5"/>
  <c r="E30" i="4"/>
  <c r="L201" i="5"/>
  <c r="L165" i="5"/>
  <c r="E25" i="4"/>
  <c r="K206" i="5"/>
  <c r="F206" i="5"/>
  <c r="L219" i="5" l="1"/>
  <c r="L252" i="5"/>
  <c r="E39" i="4"/>
  <c r="K78" i="5"/>
  <c r="F78" i="5"/>
  <c r="K137" i="3"/>
  <c r="F137" i="3"/>
  <c r="L137" i="3" s="1"/>
  <c r="E136" i="3"/>
  <c r="H33" i="4"/>
  <c r="K143" i="3"/>
  <c r="F143" i="3"/>
  <c r="L143" i="3" s="1"/>
  <c r="K132" i="3"/>
  <c r="F132" i="3"/>
  <c r="L105" i="5"/>
  <c r="E16" i="4"/>
  <c r="K14" i="2"/>
  <c r="F14" i="2"/>
  <c r="L14" i="2" s="1"/>
  <c r="E29" i="1" s="1"/>
  <c r="G35" i="4"/>
  <c r="L231" i="5"/>
  <c r="K17" i="2"/>
  <c r="F17" i="2"/>
  <c r="L17" i="2" s="1"/>
  <c r="E30" i="1" s="1"/>
  <c r="E136" i="5"/>
  <c r="E131" i="5"/>
  <c r="H58" i="4"/>
  <c r="K11" i="2"/>
  <c r="F11" i="2"/>
  <c r="L11" i="2" s="1"/>
  <c r="E178" i="5"/>
  <c r="E179" i="5"/>
  <c r="E170" i="5"/>
  <c r="H43" i="4"/>
  <c r="H154" i="3"/>
  <c r="G12" i="2" s="1"/>
  <c r="H12" i="2" s="1"/>
  <c r="L386" i="5"/>
  <c r="E61" i="4"/>
  <c r="F138" i="3"/>
  <c r="H30" i="4"/>
  <c r="E133" i="3"/>
  <c r="H23" i="4"/>
  <c r="E46" i="3"/>
  <c r="L359" i="5"/>
  <c r="F360" i="5"/>
  <c r="E335" i="5"/>
  <c r="H52" i="4"/>
  <c r="L213" i="5"/>
  <c r="E32" i="4"/>
  <c r="H9" i="4"/>
  <c r="E11" i="3"/>
  <c r="F432" i="5"/>
  <c r="L432" i="5" s="1"/>
  <c r="K432" i="5"/>
  <c r="F6" i="3"/>
  <c r="K371" i="5"/>
  <c r="F371" i="5"/>
  <c r="E36" i="5"/>
  <c r="H47" i="4"/>
  <c r="E26" i="5"/>
  <c r="L47" i="5"/>
  <c r="L83" i="5"/>
  <c r="H85" i="5"/>
  <c r="F12" i="4" s="1"/>
  <c r="G16" i="3" s="1"/>
  <c r="H16" i="3" s="1"/>
  <c r="H29" i="3" s="1"/>
  <c r="G7" i="2" s="1"/>
  <c r="H7" i="2" s="1"/>
  <c r="G6" i="2" s="1"/>
  <c r="H6" i="2" s="1"/>
  <c r="G5" i="2" s="1"/>
  <c r="H5" i="2" s="1"/>
  <c r="E64" i="5"/>
  <c r="H51" i="4"/>
  <c r="L206" i="5"/>
  <c r="F207" i="5"/>
  <c r="L407" i="5"/>
  <c r="E64" i="4"/>
  <c r="H64" i="4" s="1"/>
  <c r="K378" i="5"/>
  <c r="F378" i="5"/>
  <c r="K399" i="5"/>
  <c r="F399" i="5"/>
  <c r="H37" i="4"/>
  <c r="E140" i="3"/>
  <c r="L428" i="5"/>
  <c r="E67" i="4"/>
  <c r="K421" i="5"/>
  <c r="F421" i="5"/>
  <c r="L354" i="5"/>
  <c r="E56" i="4"/>
  <c r="H54" i="4"/>
  <c r="E53" i="5"/>
  <c r="E112" i="5"/>
  <c r="H55" i="4"/>
  <c r="F16" i="2"/>
  <c r="L16" i="2" s="1"/>
  <c r="E28" i="1" s="1"/>
  <c r="K16" i="2"/>
  <c r="K392" i="5"/>
  <c r="F392" i="5"/>
  <c r="G38" i="4"/>
  <c r="L247" i="5"/>
  <c r="E25" i="5"/>
  <c r="H46" i="4"/>
  <c r="E35" i="5"/>
  <c r="H25" i="4"/>
  <c r="E48" i="3"/>
  <c r="F144" i="3"/>
  <c r="L144" i="3" s="1"/>
  <c r="K144" i="3"/>
  <c r="L97" i="5"/>
  <c r="G49" i="4"/>
  <c r="L312" i="5"/>
  <c r="H19" i="4"/>
  <c r="E42" i="3"/>
  <c r="F320" i="5"/>
  <c r="H39" i="4" l="1"/>
  <c r="E142" i="3"/>
  <c r="H29" i="2"/>
  <c r="E8" i="1"/>
  <c r="H16" i="4"/>
  <c r="E39" i="3"/>
  <c r="L399" i="5"/>
  <c r="F400" i="5"/>
  <c r="L132" i="3"/>
  <c r="F321" i="5"/>
  <c r="K112" i="5"/>
  <c r="F112" i="5"/>
  <c r="E135" i="3"/>
  <c r="H32" i="4"/>
  <c r="K131" i="5"/>
  <c r="F131" i="5"/>
  <c r="E108" i="5"/>
  <c r="H61" i="4"/>
  <c r="K11" i="3"/>
  <c r="F11" i="3"/>
  <c r="L11" i="3" s="1"/>
  <c r="F53" i="5"/>
  <c r="K53" i="5"/>
  <c r="E98" i="5"/>
  <c r="H56" i="4"/>
  <c r="F36" i="5"/>
  <c r="L36" i="5" s="1"/>
  <c r="K36" i="5"/>
  <c r="F335" i="5"/>
  <c r="K335" i="5"/>
  <c r="K140" i="3"/>
  <c r="F140" i="3"/>
  <c r="L140" i="3" s="1"/>
  <c r="L378" i="5"/>
  <c r="F379" i="5"/>
  <c r="F136" i="3"/>
  <c r="L136" i="3" s="1"/>
  <c r="K136" i="3"/>
  <c r="K25" i="5"/>
  <c r="F25" i="5"/>
  <c r="L25" i="5" s="1"/>
  <c r="L207" i="5"/>
  <c r="E31" i="4"/>
  <c r="I138" i="3"/>
  <c r="H35" i="4"/>
  <c r="L360" i="5"/>
  <c r="E57" i="4"/>
  <c r="I320" i="5"/>
  <c r="H49" i="4"/>
  <c r="K46" i="3"/>
  <c r="F46" i="3"/>
  <c r="L46" i="3" s="1"/>
  <c r="K170" i="5"/>
  <c r="F170" i="5"/>
  <c r="F48" i="3"/>
  <c r="L48" i="3" s="1"/>
  <c r="K48" i="3"/>
  <c r="F136" i="5"/>
  <c r="K136" i="5"/>
  <c r="K35" i="5"/>
  <c r="F35" i="5"/>
  <c r="L35" i="5" s="1"/>
  <c r="F179" i="5"/>
  <c r="L179" i="5" s="1"/>
  <c r="K179" i="5"/>
  <c r="L78" i="5"/>
  <c r="F79" i="5"/>
  <c r="F26" i="5"/>
  <c r="L26" i="5" s="1"/>
  <c r="K26" i="5"/>
  <c r="K42" i="3"/>
  <c r="F42" i="3"/>
  <c r="L42" i="3" s="1"/>
  <c r="L371" i="5"/>
  <c r="F372" i="5"/>
  <c r="L421" i="5"/>
  <c r="F422" i="5"/>
  <c r="I141" i="3"/>
  <c r="H38" i="4"/>
  <c r="L392" i="5"/>
  <c r="F393" i="5"/>
  <c r="E431" i="5"/>
  <c r="H67" i="4"/>
  <c r="F64" i="5"/>
  <c r="L64" i="5" s="1"/>
  <c r="K64" i="5"/>
  <c r="K133" i="3"/>
  <c r="F133" i="3"/>
  <c r="L133" i="3" s="1"/>
  <c r="K178" i="5"/>
  <c r="F178" i="5"/>
  <c r="I37" i="5" l="1"/>
  <c r="K37" i="5" s="1"/>
  <c r="K142" i="3"/>
  <c r="F142" i="3"/>
  <c r="L142" i="3" s="1"/>
  <c r="F98" i="5"/>
  <c r="K98" i="5"/>
  <c r="L112" i="5"/>
  <c r="F115" i="5"/>
  <c r="L178" i="5"/>
  <c r="F180" i="5"/>
  <c r="E50" i="4"/>
  <c r="L372" i="5"/>
  <c r="E59" i="4"/>
  <c r="E189" i="5"/>
  <c r="H57" i="4"/>
  <c r="J141" i="3"/>
  <c r="L141" i="3" s="1"/>
  <c r="K141" i="3"/>
  <c r="K108" i="5"/>
  <c r="F108" i="5"/>
  <c r="L400" i="5"/>
  <c r="E63" i="4"/>
  <c r="H63" i="4" s="1"/>
  <c r="L379" i="5"/>
  <c r="E60" i="4"/>
  <c r="J320" i="5"/>
  <c r="K320" i="5"/>
  <c r="L131" i="5"/>
  <c r="F132" i="5"/>
  <c r="L422" i="5"/>
  <c r="E66" i="4"/>
  <c r="J138" i="3"/>
  <c r="K138" i="3"/>
  <c r="L335" i="5"/>
  <c r="F336" i="5"/>
  <c r="K39" i="3"/>
  <c r="F39" i="3"/>
  <c r="L53" i="5"/>
  <c r="F54" i="5"/>
  <c r="L170" i="5"/>
  <c r="F171" i="5"/>
  <c r="H31" i="4"/>
  <c r="E134" i="3"/>
  <c r="J37" i="5"/>
  <c r="L136" i="5"/>
  <c r="F137" i="5"/>
  <c r="F431" i="5"/>
  <c r="K431" i="5"/>
  <c r="E17" i="1"/>
  <c r="E15" i="1"/>
  <c r="E9" i="1"/>
  <c r="E10" i="1" s="1"/>
  <c r="E14" i="1"/>
  <c r="E16" i="1" s="1"/>
  <c r="L393" i="5"/>
  <c r="E62" i="4"/>
  <c r="L79" i="5"/>
  <c r="E11" i="4"/>
  <c r="K135" i="3"/>
  <c r="F135" i="3"/>
  <c r="L135" i="3" s="1"/>
  <c r="E13" i="1" l="1"/>
  <c r="E12" i="1"/>
  <c r="E8" i="4"/>
  <c r="L54" i="5"/>
  <c r="E280" i="5"/>
  <c r="E287" i="5"/>
  <c r="H59" i="4"/>
  <c r="J321" i="5"/>
  <c r="L320" i="5"/>
  <c r="E268" i="5"/>
  <c r="H60" i="4"/>
  <c r="F189" i="5"/>
  <c r="K189" i="5"/>
  <c r="L180" i="5"/>
  <c r="E27" i="4"/>
  <c r="E15" i="3"/>
  <c r="H11" i="4"/>
  <c r="L132" i="5"/>
  <c r="E21" i="4"/>
  <c r="L39" i="3"/>
  <c r="E63" i="5"/>
  <c r="L431" i="5"/>
  <c r="F433" i="5"/>
  <c r="L108" i="5"/>
  <c r="F109" i="5"/>
  <c r="E18" i="4"/>
  <c r="L115" i="5"/>
  <c r="L171" i="5"/>
  <c r="E26" i="4"/>
  <c r="E22" i="4"/>
  <c r="L137" i="5"/>
  <c r="E126" i="5"/>
  <c r="H62" i="4"/>
  <c r="J154" i="3"/>
  <c r="I12" i="2" s="1"/>
  <c r="J12" i="2" s="1"/>
  <c r="L138" i="3"/>
  <c r="J38" i="5"/>
  <c r="L37" i="5"/>
  <c r="F134" i="3"/>
  <c r="K134" i="3"/>
  <c r="H66" i="4"/>
  <c r="E82" i="5"/>
  <c r="L336" i="5"/>
  <c r="E53" i="4"/>
  <c r="L98" i="5"/>
  <c r="F99" i="5"/>
  <c r="F63" i="5" l="1"/>
  <c r="K126" i="5"/>
  <c r="F126" i="5"/>
  <c r="L99" i="5"/>
  <c r="E15" i="4"/>
  <c r="F268" i="5"/>
  <c r="K268" i="5"/>
  <c r="E44" i="3"/>
  <c r="H21" i="4"/>
  <c r="F287" i="5"/>
  <c r="K287" i="5"/>
  <c r="K280" i="5"/>
  <c r="F280" i="5"/>
  <c r="L134" i="3"/>
  <c r="F154" i="3"/>
  <c r="H18" i="4"/>
  <c r="E41" i="3"/>
  <c r="K15" i="3"/>
  <c r="F15" i="3"/>
  <c r="L15" i="3" s="1"/>
  <c r="G50" i="4"/>
  <c r="L321" i="5"/>
  <c r="K82" i="5"/>
  <c r="F82" i="5"/>
  <c r="L109" i="5"/>
  <c r="E17" i="4"/>
  <c r="H27" i="4"/>
  <c r="E57" i="3"/>
  <c r="H8" i="4"/>
  <c r="E10" i="3"/>
  <c r="G7" i="4"/>
  <c r="L38" i="5"/>
  <c r="H53" i="4"/>
  <c r="E29" i="5"/>
  <c r="H22" i="4"/>
  <c r="E45" i="3"/>
  <c r="E56" i="3"/>
  <c r="H26" i="4"/>
  <c r="L433" i="5"/>
  <c r="E68" i="4"/>
  <c r="L189" i="5"/>
  <c r="F190" i="5"/>
  <c r="H15" i="4" l="1"/>
  <c r="E19" i="3"/>
  <c r="K45" i="3"/>
  <c r="F45" i="3"/>
  <c r="L45" i="3" s="1"/>
  <c r="I63" i="5"/>
  <c r="H50" i="4"/>
  <c r="L154" i="3"/>
  <c r="E12" i="2"/>
  <c r="L126" i="5"/>
  <c r="F127" i="5"/>
  <c r="K29" i="5"/>
  <c r="F29" i="5"/>
  <c r="L29" i="5" s="1"/>
  <c r="L190" i="5"/>
  <c r="E28" i="4"/>
  <c r="K10" i="3"/>
  <c r="F10" i="3"/>
  <c r="F57" i="3"/>
  <c r="L57" i="3" s="1"/>
  <c r="K57" i="3"/>
  <c r="F85" i="5"/>
  <c r="L82" i="5"/>
  <c r="F44" i="3"/>
  <c r="L44" i="3" s="1"/>
  <c r="K44" i="3"/>
  <c r="H17" i="4"/>
  <c r="E40" i="3"/>
  <c r="L280" i="5"/>
  <c r="F282" i="5"/>
  <c r="L287" i="5"/>
  <c r="F289" i="5"/>
  <c r="I9" i="3"/>
  <c r="H7" i="4"/>
  <c r="L268" i="5"/>
  <c r="F269" i="5"/>
  <c r="K41" i="3"/>
  <c r="F41" i="3"/>
  <c r="L41" i="3" s="1"/>
  <c r="E153" i="5"/>
  <c r="H68" i="4"/>
  <c r="F56" i="3"/>
  <c r="K56" i="3"/>
  <c r="F65" i="5"/>
  <c r="L85" i="5" l="1"/>
  <c r="E12" i="4"/>
  <c r="F40" i="3"/>
  <c r="K40" i="3"/>
  <c r="K153" i="5"/>
  <c r="F153" i="5"/>
  <c r="K12" i="2"/>
  <c r="F12" i="2"/>
  <c r="L12" i="2" s="1"/>
  <c r="J63" i="5"/>
  <c r="K63" i="5"/>
  <c r="E42" i="4"/>
  <c r="L269" i="5"/>
  <c r="J9" i="3"/>
  <c r="L9" i="3" s="1"/>
  <c r="K9" i="3"/>
  <c r="L127" i="5"/>
  <c r="E20" i="4"/>
  <c r="L289" i="5"/>
  <c r="E45" i="4"/>
  <c r="L10" i="3"/>
  <c r="E10" i="4"/>
  <c r="H28" i="4"/>
  <c r="E81" i="3"/>
  <c r="K19" i="3"/>
  <c r="F19" i="3"/>
  <c r="L19" i="3" s="1"/>
  <c r="L282" i="5"/>
  <c r="E44" i="4"/>
  <c r="L56" i="3"/>
  <c r="F79" i="3"/>
  <c r="E28" i="5" l="1"/>
  <c r="H45" i="4"/>
  <c r="L153" i="5"/>
  <c r="F154" i="5"/>
  <c r="E14" i="3"/>
  <c r="H20" i="4"/>
  <c r="E43" i="3"/>
  <c r="L79" i="3"/>
  <c r="E9" i="2"/>
  <c r="L40" i="3"/>
  <c r="E445" i="5"/>
  <c r="E440" i="5"/>
  <c r="H42" i="4"/>
  <c r="J65" i="5"/>
  <c r="L63" i="5"/>
  <c r="E27" i="5"/>
  <c r="H44" i="4"/>
  <c r="H12" i="4"/>
  <c r="E16" i="3"/>
  <c r="K81" i="3"/>
  <c r="F81" i="3"/>
  <c r="K16" i="3" l="1"/>
  <c r="F16" i="3"/>
  <c r="L16" i="3" s="1"/>
  <c r="G10" i="4"/>
  <c r="L65" i="5"/>
  <c r="K9" i="2"/>
  <c r="F9" i="2"/>
  <c r="L9" i="2" s="1"/>
  <c r="K43" i="3"/>
  <c r="F43" i="3"/>
  <c r="F14" i="3"/>
  <c r="L154" i="5"/>
  <c r="E24" i="4"/>
  <c r="F104" i="3"/>
  <c r="L81" i="3"/>
  <c r="F27" i="5"/>
  <c r="L27" i="5" s="1"/>
  <c r="K27" i="5"/>
  <c r="K440" i="5"/>
  <c r="F440" i="5"/>
  <c r="L440" i="5" s="1"/>
  <c r="I441" i="5" s="1"/>
  <c r="K445" i="5"/>
  <c r="F445" i="5"/>
  <c r="L445" i="5" s="1"/>
  <c r="I446" i="5" s="1"/>
  <c r="K28" i="5"/>
  <c r="F28" i="5"/>
  <c r="L28" i="5" s="1"/>
  <c r="H24" i="4" l="1"/>
  <c r="E47" i="3"/>
  <c r="F29" i="3"/>
  <c r="J441" i="5"/>
  <c r="K441" i="5"/>
  <c r="J446" i="5"/>
  <c r="K446" i="5"/>
  <c r="I30" i="5"/>
  <c r="I14" i="3"/>
  <c r="H10" i="4"/>
  <c r="L43" i="3"/>
  <c r="L104" i="3"/>
  <c r="E10" i="2"/>
  <c r="E7" i="2" l="1"/>
  <c r="J30" i="5"/>
  <c r="K30" i="5"/>
  <c r="J447" i="5"/>
  <c r="L446" i="5"/>
  <c r="J442" i="5"/>
  <c r="L441" i="5"/>
  <c r="F10" i="2"/>
  <c r="L10" i="2" s="1"/>
  <c r="K10" i="2"/>
  <c r="J14" i="3"/>
  <c r="L14" i="3" s="1"/>
  <c r="K14" i="3"/>
  <c r="K47" i="3"/>
  <c r="F47" i="3"/>
  <c r="G71" i="4" l="1"/>
  <c r="L447" i="5"/>
  <c r="J31" i="5"/>
  <c r="L30" i="5"/>
  <c r="G70" i="4"/>
  <c r="L442" i="5"/>
  <c r="L47" i="3"/>
  <c r="F54" i="3"/>
  <c r="F7" i="2"/>
  <c r="L54" i="3" l="1"/>
  <c r="E8" i="2"/>
  <c r="I14" i="5"/>
  <c r="I7" i="5"/>
  <c r="H70" i="4"/>
  <c r="G6" i="4"/>
  <c r="L31" i="5"/>
  <c r="I8" i="5"/>
  <c r="I15" i="5"/>
  <c r="H71" i="4"/>
  <c r="J15" i="5" l="1"/>
  <c r="L15" i="5" s="1"/>
  <c r="K15" i="5"/>
  <c r="I8" i="3"/>
  <c r="H6" i="4"/>
  <c r="J8" i="5"/>
  <c r="L8" i="5" s="1"/>
  <c r="K8" i="5"/>
  <c r="J14" i="5"/>
  <c r="L14" i="5" s="1"/>
  <c r="I16" i="5" s="1"/>
  <c r="K14" i="5"/>
  <c r="J7" i="5"/>
  <c r="L7" i="5" s="1"/>
  <c r="I9" i="5" s="1"/>
  <c r="K7" i="5"/>
  <c r="K8" i="2"/>
  <c r="F8" i="2"/>
  <c r="J16" i="5" l="1"/>
  <c r="K16" i="5"/>
  <c r="L8" i="2"/>
  <c r="E6" i="2"/>
  <c r="J8" i="3"/>
  <c r="L8" i="3" s="1"/>
  <c r="K8" i="3"/>
  <c r="K9" i="5"/>
  <c r="J9" i="5"/>
  <c r="F6" i="2" l="1"/>
  <c r="J10" i="5"/>
  <c r="L9" i="5"/>
  <c r="J17" i="5"/>
  <c r="L16" i="5"/>
  <c r="G5" i="4" l="1"/>
  <c r="L17" i="5"/>
  <c r="G4" i="4"/>
  <c r="L10" i="5"/>
  <c r="E5" i="2"/>
  <c r="I6" i="3" l="1"/>
  <c r="H4" i="4"/>
  <c r="F5" i="2"/>
  <c r="I7" i="3"/>
  <c r="H5" i="4"/>
  <c r="F29" i="2" l="1"/>
  <c r="E4" i="1"/>
  <c r="E7" i="1" s="1"/>
  <c r="J7" i="3"/>
  <c r="L7" i="3" s="1"/>
  <c r="K7" i="3"/>
  <c r="J6" i="3"/>
  <c r="K6" i="3"/>
  <c r="J29" i="3" l="1"/>
  <c r="L6" i="3"/>
  <c r="E18" i="1"/>
  <c r="E20" i="1"/>
  <c r="I7" i="2" l="1"/>
  <c r="L29" i="3"/>
  <c r="J7" i="2" l="1"/>
  <c r="K7" i="2"/>
  <c r="I6" i="2" l="1"/>
  <c r="L7" i="2"/>
  <c r="J6" i="2" l="1"/>
  <c r="K6" i="2"/>
  <c r="I5" i="2" l="1"/>
  <c r="L6" i="2"/>
  <c r="J5" i="2" l="1"/>
  <c r="K5" i="2"/>
  <c r="J29" i="2" l="1"/>
  <c r="E11" i="1"/>
  <c r="L5" i="2"/>
  <c r="L29" i="2" s="1"/>
  <c r="E22" i="1" l="1"/>
  <c r="E21" i="1"/>
  <c r="E19" i="1"/>
  <c r="E23" i="1" l="1"/>
  <c r="E24" i="1"/>
  <c r="E32" i="1" l="1"/>
  <c r="E36" i="1" l="1"/>
  <c r="F2" i="1" s="1"/>
</calcChain>
</file>

<file path=xl/sharedStrings.xml><?xml version="1.0" encoding="utf-8"?>
<sst xmlns="http://schemas.openxmlformats.org/spreadsheetml/2006/main" count="9092" uniqueCount="1326">
  <si>
    <t>고무매트</t>
  </si>
  <si>
    <t>3011150420144828</t>
  </si>
  <si>
    <t>3019150220140305</t>
  </si>
  <si>
    <t>경비 조정률</t>
  </si>
  <si>
    <t>규      격</t>
  </si>
  <si>
    <t xml:space="preserve"> Es '적재효율'=0.5</t>
  </si>
  <si>
    <t>( 호표 45 ) 강관 조립말비계(이동식)설치 및 해체 높이=4.0m이하 대</t>
  </si>
  <si>
    <t>15</t>
  </si>
  <si>
    <t>재료비의 57%</t>
  </si>
  <si>
    <t>( 호표 9 ) 내부수평비계(틀비계)  설치및 해체 3개월, H=4.0M(발판유) m2</t>
  </si>
  <si>
    <t>지주높이 3.5m 이하</t>
  </si>
  <si>
    <t>3015180210028274</t>
  </si>
  <si>
    <t>100*100*6*8</t>
  </si>
  <si>
    <t>PSP, 3040×420×3mm</t>
  </si>
  <si>
    <t>자재 56</t>
  </si>
  <si>
    <t>시스템비계-계단</t>
  </si>
  <si>
    <t>00002105001000000</t>
  </si>
  <si>
    <t>호표 29</t>
  </si>
  <si>
    <t>Metal Screw #8, Φ4.2 13mm</t>
  </si>
  <si>
    <t>YZD007000000</t>
  </si>
  <si>
    <t>100×45×0.8t</t>
  </si>
  <si>
    <t>시너</t>
  </si>
  <si>
    <t>비계안정장치, 조절받침철물</t>
  </si>
  <si>
    <t>￠34*600mm</t>
  </si>
  <si>
    <t>METAL C-STUD</t>
  </si>
  <si>
    <t>건축 8-2-5</t>
  </si>
  <si>
    <t>자재 7</t>
  </si>
  <si>
    <t xml:space="preserve"> q1  1회적재량(ton)  =2</t>
  </si>
  <si>
    <t>1451</t>
  </si>
  <si>
    <t>3116162010023568</t>
  </si>
  <si>
    <t>조사가격3</t>
  </si>
  <si>
    <t>010108  작업부산물</t>
  </si>
  <si>
    <t>( 호표 56 ) 굴착기(무한궤도) 0.2㎥ HR</t>
  </si>
  <si>
    <t>( 호표 7 ) 강관비계(외줄)설치및해체, 부직포 3개월 M2</t>
  </si>
  <si>
    <t>구        성        비</t>
  </si>
  <si>
    <t>1.01</t>
  </si>
  <si>
    <t>AQA80000300T</t>
  </si>
  <si>
    <t xml:space="preserve"> t6   세륜시간 (분)  =1.5</t>
  </si>
  <si>
    <t>조합페인트</t>
  </si>
  <si>
    <t>91</t>
  </si>
  <si>
    <t>L001010101000002</t>
  </si>
  <si>
    <t>A30</t>
  </si>
  <si>
    <t>E20920</t>
  </si>
  <si>
    <t>굴삭기(유압식백호우)</t>
  </si>
  <si>
    <t>12</t>
  </si>
  <si>
    <t>0.33</t>
  </si>
  <si>
    <t>0.0036*0.5</t>
  </si>
  <si>
    <t>(AZZ+B10+Q10/1.1)*%%</t>
  </si>
  <si>
    <t>일반못, 50mm</t>
  </si>
  <si>
    <t>0.03</t>
  </si>
  <si>
    <t>강관비계(외줄) 설치 및 해체</t>
  </si>
  <si>
    <t>PPS00000003</t>
  </si>
  <si>
    <t>철골 가공 조립(적은 구조)</t>
  </si>
  <si>
    <t>호표 23</t>
  </si>
  <si>
    <t>조합페인트, KSM6020-1종1급, 백색</t>
  </si>
  <si>
    <t>호표 5</t>
  </si>
  <si>
    <t>호표 36</t>
  </si>
  <si>
    <t>2</t>
  </si>
  <si>
    <t xml:space="preserve"> q0 '트레일러적재량(ton)' =20</t>
  </si>
  <si>
    <t>AAA164101003</t>
  </si>
  <si>
    <t>자재 45</t>
  </si>
  <si>
    <t>AAA310201004</t>
  </si>
  <si>
    <t>KG</t>
  </si>
  <si>
    <t>( 호표 65 ) 도장 후 퍼티 및 연마 철재면 M2</t>
  </si>
  <si>
    <t>직접노무비 * 2.3%</t>
  </si>
  <si>
    <t xml:space="preserve">'노무비:' LA("L001010101000002") * 1/8/{Q} =?EQ  </t>
  </si>
  <si>
    <t>노임 6</t>
  </si>
  <si>
    <t>3019150220140301</t>
  </si>
  <si>
    <t>500</t>
  </si>
  <si>
    <t>AAA310201002</t>
  </si>
  <si>
    <t>( 호표 41 ) 강관 지주 설치 지주높이 3.5m 이하 10M</t>
  </si>
  <si>
    <t>AED00000010S</t>
  </si>
  <si>
    <t>.EQ=TOT(10, 0, 100) * 1</t>
  </si>
  <si>
    <t>BZZ*%%</t>
  </si>
  <si>
    <t>P10</t>
  </si>
  <si>
    <t xml:space="preserve"> V1 '작업장내 운반속도(km/hr)' =0</t>
  </si>
  <si>
    <t>L001010101000023</t>
  </si>
  <si>
    <t>시간당 노임산출 계수</t>
  </si>
  <si>
    <t>10.0m이하, 6개월(발판2열)(계단설치해체비포함)</t>
  </si>
  <si>
    <t>자재 27</t>
  </si>
  <si>
    <t>M3</t>
  </si>
  <si>
    <t>3019160220140477</t>
  </si>
  <si>
    <t>.MA=MA(80, 90) * 0.15</t>
  </si>
  <si>
    <t>AQA800015004</t>
  </si>
  <si>
    <t>기계설비 (철거)</t>
  </si>
  <si>
    <t>AAA16300020S</t>
  </si>
  <si>
    <t xml:space="preserve"> V2 '도로주행 운반속도(km/hr)' =40</t>
  </si>
  <si>
    <t>00002104002000000</t>
  </si>
  <si>
    <t>공통 8-3,4(2105)</t>
  </si>
  <si>
    <t>( 호표 5 ) 시스템비계 10.0m이하, 6개월(발판2열)(계단설치해체비포함) M2</t>
  </si>
  <si>
    <t>현장정리 신호수</t>
  </si>
  <si>
    <t>폐기물처리비</t>
  </si>
  <si>
    <t>강관비계</t>
  </si>
  <si>
    <t>.MA=MA(30) * 0.57</t>
  </si>
  <si>
    <t>0.004*1.5</t>
  </si>
  <si>
    <t>50</t>
  </si>
  <si>
    <t>B10*%%</t>
  </si>
  <si>
    <t>공 사 원 가 계 산 서</t>
  </si>
  <si>
    <t>5000*3000</t>
  </si>
  <si>
    <t>641</t>
  </si>
  <si>
    <t>자재 29</t>
  </si>
  <si>
    <t>25310515</t>
  </si>
  <si>
    <t>잡품</t>
  </si>
  <si>
    <t>102×40, 0.8T</t>
  </si>
  <si>
    <t>인력품의 2%</t>
  </si>
  <si>
    <t>ML</t>
  </si>
  <si>
    <t>자재 28</t>
  </si>
  <si>
    <t>1/8*16/12*25/20</t>
  </si>
  <si>
    <t>503</t>
  </si>
  <si>
    <t>공통 2-7-4</t>
  </si>
  <si>
    <t>건강보험료*12.95%</t>
  </si>
  <si>
    <t>자재 42</t>
  </si>
  <si>
    <t>자재 38</t>
  </si>
  <si>
    <t>ZZB120100000</t>
  </si>
  <si>
    <t>산근</t>
  </si>
  <si>
    <t>조립식가설울타리/E.G.I철판, H1.0 PE분진망</t>
  </si>
  <si>
    <t>'경    비:' EQ("00002105001000000") / {Q} = ?EQ</t>
  </si>
  <si>
    <t>JUK20</t>
  </si>
  <si>
    <t>L001010101000049</t>
  </si>
  <si>
    <t>3019150220140306</t>
  </si>
  <si>
    <t>0.18</t>
  </si>
  <si>
    <t>호표 55</t>
  </si>
  <si>
    <t>01   경기도어린이박물관 강당 리모델링공사(1차)</t>
  </si>
  <si>
    <t>-</t>
  </si>
  <si>
    <t>C30</t>
  </si>
  <si>
    <t>DZZ*%%</t>
  </si>
  <si>
    <t>AZZ+BZZ+CZZ</t>
  </si>
  <si>
    <t>TE-YX 18/52</t>
  </si>
  <si>
    <t>ZZB130200000</t>
  </si>
  <si>
    <t>ATA400100400</t>
  </si>
  <si>
    <t>조</t>
  </si>
  <si>
    <t>010107</t>
  </si>
  <si>
    <t xml:space="preserve"> 경    비:  22539 / 40 = 563.47</t>
  </si>
  <si>
    <t>자재 3</t>
  </si>
  <si>
    <t>호표 7</t>
  </si>
  <si>
    <t xml:space="preserve"> 보통인부 </t>
  </si>
  <si>
    <t>식</t>
  </si>
  <si>
    <t>호표 48</t>
  </si>
  <si>
    <t>힐티앙카</t>
  </si>
  <si>
    <t>52917562</t>
  </si>
  <si>
    <t>노임 8</t>
  </si>
  <si>
    <t>[ 합           계 ]</t>
  </si>
  <si>
    <t>해체재 재사용 안함</t>
  </si>
  <si>
    <t>ㅁ-75*75*3.2</t>
  </si>
  <si>
    <t>F41</t>
  </si>
  <si>
    <t xml:space="preserve"> 2.크레인(트럭탑재형)(10ton/hr) </t>
  </si>
  <si>
    <t>'보통인부'</t>
  </si>
  <si>
    <t>재료비의 21%</t>
  </si>
  <si>
    <t>( 호표 3 ) 조립식가설울타리/E.G.I철판, H1.0 PE분진망 H=4.0, 3개월 이하 M</t>
  </si>
  <si>
    <t>철골공</t>
  </si>
  <si>
    <t>( 호표 27 ) 경량천장철골틀 해체 해체재 재사용 안함 M2</t>
  </si>
  <si>
    <t>설치높이 3m 이하</t>
  </si>
  <si>
    <t>20ton</t>
  </si>
  <si>
    <t>YZS005000000</t>
  </si>
  <si>
    <t xml:space="preserve"> L3  공사장내 운반거리(km)  =0.5</t>
  </si>
  <si>
    <t xml:space="preserve"> V2  도로주행 운반속도(km/hr)  =40</t>
  </si>
  <si>
    <t>호표 17</t>
  </si>
  <si>
    <t>'비계공'</t>
  </si>
  <si>
    <t>99</t>
  </si>
  <si>
    <t>비계주위 분진망</t>
  </si>
  <si>
    <t>3019160220140480</t>
  </si>
  <si>
    <t>일위대가내역소수점처리</t>
  </si>
  <si>
    <t>노임 1</t>
  </si>
  <si>
    <t>벽</t>
  </si>
  <si>
    <t>창고 소규모, 공장 대규모 건물 트러스 거더류</t>
  </si>
  <si>
    <t>( 호표 40 ) 벽체틀 설치 자재 별도 M2</t>
  </si>
  <si>
    <t>311630002001060A</t>
  </si>
  <si>
    <t>EA</t>
  </si>
  <si>
    <t>ZZ0000100000</t>
  </si>
  <si>
    <t>용접형강, 보조강재</t>
  </si>
  <si>
    <t>( 호표 62 ) 강관틀 비계 설치 및 해체 10m 이하 M2</t>
  </si>
  <si>
    <t xml:space="preserve"> Q   시간당 작업량(ton/hr)  =(60*q0*f*E)/CM= 7.0671</t>
  </si>
  <si>
    <t>액화석유가스, 건설용LPG</t>
  </si>
  <si>
    <t>JUK16</t>
  </si>
  <si>
    <t>L001010101000024</t>
  </si>
  <si>
    <t>0.06*0.5</t>
  </si>
  <si>
    <t>노무비의 6%</t>
  </si>
  <si>
    <t xml:space="preserve"> t3 '적하시간(분)'=(Cms*n)/(60*Es)=?</t>
  </si>
  <si>
    <t>물가자료</t>
  </si>
  <si>
    <t>공종코드</t>
  </si>
  <si>
    <t>자재 73</t>
  </si>
  <si>
    <t>JUK14</t>
  </si>
  <si>
    <t>ZZB200100000</t>
  </si>
  <si>
    <t>산업안전보건관리비</t>
  </si>
  <si>
    <t>산출경비(기계경비)</t>
  </si>
  <si>
    <t>JUK5</t>
  </si>
  <si>
    <t>노   무   비</t>
  </si>
  <si>
    <t>( 호표 36 ) 창호철거 알루미늄 M2</t>
  </si>
  <si>
    <t>AGH30000010T</t>
  </si>
  <si>
    <t>AD0201000404</t>
  </si>
  <si>
    <t>경비 단가 적용률</t>
  </si>
  <si>
    <t>ZZB110100000</t>
  </si>
  <si>
    <t>도장 후 퍼티 및 연마 재료비</t>
  </si>
  <si>
    <t>0.0232*0.7</t>
  </si>
  <si>
    <t>자재 16</t>
  </si>
  <si>
    <t>재료비의 39%</t>
  </si>
  <si>
    <t>TRUNC(1950*0.3*0.3*0.03, 4)</t>
  </si>
  <si>
    <t>경비 10</t>
  </si>
  <si>
    <t>( 호표 13 ) 고장력 볼트 본조임 90본/t 미만 TON</t>
  </si>
  <si>
    <t>20 ton</t>
  </si>
  <si>
    <t>메모장</t>
  </si>
  <si>
    <t>4000000</t>
  </si>
  <si>
    <t>자재 5</t>
  </si>
  <si>
    <t>경비단가적용</t>
  </si>
  <si>
    <t>주재료비의 15%</t>
  </si>
  <si>
    <t>호표 65</t>
  </si>
  <si>
    <t>호표 13</t>
  </si>
  <si>
    <t>3019150220140272</t>
  </si>
  <si>
    <t>HIT-C M16×190</t>
  </si>
  <si>
    <t>경량벽체철골틀 설치</t>
  </si>
  <si>
    <t>경비 할증 계수</t>
  </si>
  <si>
    <t>강관틀 비계매기</t>
  </si>
  <si>
    <t>호표 40</t>
  </si>
  <si>
    <t>HL-18(1829mm)</t>
  </si>
  <si>
    <t>품목코드형식</t>
  </si>
  <si>
    <t>EGI철판, 550×2400</t>
  </si>
  <si>
    <t>패브릭흡음재 철거</t>
  </si>
  <si>
    <t>하도급지급보증수수료</t>
  </si>
  <si>
    <t>NK-27</t>
  </si>
  <si>
    <t>ㅁ-50*50*2.3</t>
  </si>
  <si>
    <t>AQA80000300S</t>
  </si>
  <si>
    <t>( 호표 8 ) 이동식강관말비계 6개월,3단(6m)  대</t>
  </si>
  <si>
    <t>호표 62</t>
  </si>
  <si>
    <t>호표 33</t>
  </si>
  <si>
    <t>50 ton</t>
  </si>
  <si>
    <t>AEE910401005</t>
  </si>
  <si>
    <t>3116161320135547</t>
  </si>
  <si>
    <t>장비일위</t>
  </si>
  <si>
    <t xml:space="preserve"> </t>
  </si>
  <si>
    <t>횡보동연(소, 용융도금), 5.3×2.3×3000</t>
  </si>
  <si>
    <t>( 호표 24 ) 벽,띠장설치(미송) 30*30,@450*450 W=400 M2</t>
  </si>
  <si>
    <t>호표 43</t>
  </si>
  <si>
    <t>YZS003000000</t>
  </si>
  <si>
    <t>호표 32</t>
  </si>
  <si>
    <t>[7등급+7등급미만] 130억 미만 ~ 81억(고시금액) 이상</t>
  </si>
  <si>
    <t>&gt;'[ 소    계 ]'</t>
  </si>
  <si>
    <t>공 종 별 내 역 서</t>
  </si>
  <si>
    <t>675</t>
  </si>
  <si>
    <t>28</t>
  </si>
  <si>
    <t>대전교육청</t>
  </si>
  <si>
    <t>JUK18</t>
  </si>
  <si>
    <t>건설기계대여금지급보증서발급수수료</t>
  </si>
  <si>
    <t>경    비</t>
  </si>
  <si>
    <t>교육시설 안전성평가</t>
  </si>
  <si>
    <t>L001010101000027</t>
  </si>
  <si>
    <t>ZZA000200000</t>
  </si>
  <si>
    <t>AAA310453000</t>
  </si>
  <si>
    <t>10m 이하</t>
  </si>
  <si>
    <t>00000201002000000</t>
  </si>
  <si>
    <t>3.56</t>
  </si>
  <si>
    <t>(AZZ+B10+C30)*%%</t>
  </si>
  <si>
    <t>3019160220140481</t>
  </si>
  <si>
    <t>3116201320135000</t>
  </si>
  <si>
    <t xml:space="preserve"> N   적재횟수 =q0/q1 = 10</t>
  </si>
  <si>
    <t>AEC10000140S</t>
  </si>
  <si>
    <t>ROUNDDOWN(((1/3.6)*(3+0.25)+4)*0.06, 4)</t>
  </si>
  <si>
    <t xml:space="preserve"> t4  적재대기시간(분)  =0.42</t>
  </si>
  <si>
    <t>PLAT</t>
  </si>
  <si>
    <t>자재 26</t>
  </si>
  <si>
    <t>호표 52</t>
  </si>
  <si>
    <t>자재 4</t>
  </si>
  <si>
    <t>0.16</t>
  </si>
  <si>
    <t>Z000000000000019</t>
  </si>
  <si>
    <t>비계안정장치, 이음철물, 연결핀</t>
  </si>
  <si>
    <t>직접노무비*3.545%</t>
  </si>
  <si>
    <t>조사가격2</t>
  </si>
  <si>
    <t>이 Sheet는 수정하지 마십시요</t>
  </si>
  <si>
    <t>63</t>
  </si>
  <si>
    <t>( 호표 68 ) 콘테이너형 가설건축물 해체 3.0*9.0*2.6m (경비로 적용) 개소</t>
  </si>
  <si>
    <t>일반공사 직종</t>
  </si>
  <si>
    <t>비계안정장치, 쟈키</t>
  </si>
  <si>
    <t>중 기 단 가 산 출 서</t>
  </si>
  <si>
    <t>자재 57</t>
  </si>
  <si>
    <t>750</t>
  </si>
  <si>
    <t>코드</t>
  </si>
  <si>
    <t>3016160420162803</t>
  </si>
  <si>
    <t>ZZB130100000</t>
  </si>
  <si>
    <t>.MA=LA(10, 0, 20) * 0.02</t>
  </si>
  <si>
    <t>JUK9</t>
  </si>
  <si>
    <t>직  접  노  무  비</t>
  </si>
  <si>
    <t xml:space="preserve">6개월,3단(6m) </t>
  </si>
  <si>
    <t>무수축GP600</t>
  </si>
  <si>
    <t>단가명</t>
  </si>
  <si>
    <t>YZD014000000</t>
  </si>
  <si>
    <t>TTTTTTTT</t>
  </si>
  <si>
    <t>49</t>
  </si>
  <si>
    <t>일  반  관  리  비</t>
  </si>
  <si>
    <t>고  용  보  험  료</t>
  </si>
  <si>
    <t>천원</t>
  </si>
  <si>
    <t>부가세,조달수수료포함</t>
  </si>
  <si>
    <t>L</t>
  </si>
  <si>
    <t>AAA310611000</t>
  </si>
  <si>
    <t>ZZB800100000</t>
  </si>
  <si>
    <t>m</t>
  </si>
  <si>
    <t>0000210500100000</t>
  </si>
  <si>
    <t>BZZ</t>
  </si>
  <si>
    <t xml:space="preserve"> q1 '1회적재량(ton)' =2</t>
  </si>
  <si>
    <t>AAA310540100</t>
  </si>
  <si>
    <t>HR</t>
  </si>
  <si>
    <t>( 호표 63 ) 강관틀 비계매기 3개월, 10m 이하, (발판제외) M2</t>
  </si>
  <si>
    <t>JUK4</t>
  </si>
  <si>
    <t>경비 8</t>
  </si>
  <si>
    <t>( 호표 57 ) 크레인(타이어) 10ton HR</t>
  </si>
  <si>
    <t>0.05</t>
  </si>
  <si>
    <t xml:space="preserve"> CM  1회 싸이클 시간(분)  =t1+t2+t3+t4+t6= 152.82</t>
  </si>
  <si>
    <t xml:space="preserve"> Es  작업효율  =0.5</t>
  </si>
  <si>
    <t>AEE90000040S</t>
  </si>
  <si>
    <t>공통 8-3,4(2104)</t>
  </si>
  <si>
    <t>퍼티</t>
  </si>
  <si>
    <t>L001010101000048</t>
  </si>
  <si>
    <t>벽체틀 철거</t>
  </si>
  <si>
    <t xml:space="preserve"> V3  공사장내 운반속도(km/hr)  =25</t>
  </si>
  <si>
    <t>노 무 비</t>
  </si>
  <si>
    <t>품셈개요</t>
  </si>
  <si>
    <t>노무비 조정률</t>
  </si>
  <si>
    <t>AAB222402010</t>
  </si>
  <si>
    <t>'재료비:' MA("00002702002000000") / {Q} * Z =?EQ</t>
  </si>
  <si>
    <t>창호공</t>
  </si>
  <si>
    <t>자재 39</t>
  </si>
  <si>
    <t>3개월, 10m 이하, (발판제외)</t>
  </si>
  <si>
    <t>66</t>
  </si>
  <si>
    <t>3016160420162725</t>
  </si>
  <si>
    <t>E20</t>
  </si>
  <si>
    <t>철공</t>
  </si>
  <si>
    <t>건축 9-3-3</t>
  </si>
  <si>
    <t>자재 69</t>
  </si>
  <si>
    <t xml:space="preserve"> V3 '공사장내 운반속도(km/hr)' =25</t>
  </si>
  <si>
    <t>자재 55</t>
  </si>
  <si>
    <t>176</t>
  </si>
  <si>
    <t>주연료비의 39%</t>
  </si>
  <si>
    <t>'노무비:' LA("L001010101000006") * 2/8/{Q} =?EQ</t>
  </si>
  <si>
    <t>품      명</t>
  </si>
  <si>
    <t>Ⅱ-82</t>
  </si>
  <si>
    <t>부  가  가  치  세</t>
  </si>
  <si>
    <t>( 호표 50 ) 비계주위 분진망  m2</t>
  </si>
  <si>
    <t>CAD162200301</t>
  </si>
  <si>
    <t>0.032</t>
  </si>
  <si>
    <t>L001010101000029</t>
  </si>
  <si>
    <t>0.0465*0.7</t>
  </si>
  <si>
    <t>2327181220080561</t>
  </si>
  <si>
    <t>010109  구조체철거</t>
  </si>
  <si>
    <t>1119160220292341</t>
  </si>
  <si>
    <t>작업설,부산물(△)</t>
  </si>
  <si>
    <t>호표 53</t>
  </si>
  <si>
    <t xml:space="preserve"> t1  적재시간(분)  =(Cms*n)/(60*Es)= 30</t>
  </si>
  <si>
    <t>A10</t>
  </si>
  <si>
    <t>호표 49</t>
  </si>
  <si>
    <t>호표 3</t>
  </si>
  <si>
    <t>굴착기(무한궤도)</t>
  </si>
  <si>
    <t>40</t>
  </si>
  <si>
    <t>호표 9</t>
  </si>
  <si>
    <t>- 재료비 별도 -</t>
  </si>
  <si>
    <t>JUK11</t>
  </si>
  <si>
    <t>호표 16</t>
  </si>
  <si>
    <t>Cms '묶기30,회전30,풀기30(초)'=30+30+30=?</t>
  </si>
  <si>
    <t>노임 10</t>
  </si>
  <si>
    <t>국민  연금  보험료</t>
  </si>
  <si>
    <t>CC0</t>
  </si>
  <si>
    <t>방청페인트</t>
  </si>
  <si>
    <t>90본/t 미만</t>
  </si>
  <si>
    <t>컨테이너하우스</t>
  </si>
  <si>
    <t>인력품의 3%</t>
  </si>
  <si>
    <t>JUK2</t>
  </si>
  <si>
    <t>E30009</t>
  </si>
  <si>
    <t>TE 70</t>
  </si>
  <si>
    <t>철강설,</t>
  </si>
  <si>
    <t>.EQ=LA(10, 0, 20) * 0.02</t>
  </si>
  <si>
    <t>167</t>
  </si>
  <si>
    <t>AAD150104100</t>
  </si>
  <si>
    <t>시스템비계</t>
  </si>
  <si>
    <t>자재 23</t>
  </si>
  <si>
    <t xml:space="preserve"> 운반거리 : 공장L1=0.0km, 시내L2=29.5km, 공사장L3=0.5km </t>
  </si>
  <si>
    <t>자재 36</t>
  </si>
  <si>
    <t>(재료비+직노+도급자관급) * 3.11%</t>
  </si>
  <si>
    <t>강관비계(외줄)설치및해체, 부직포</t>
  </si>
  <si>
    <t>컨테이너하우스, 사무실용, 3.0*9.0*2.6m</t>
  </si>
  <si>
    <t>010110  교육시설 안전성평가</t>
  </si>
  <si>
    <t>1L=1.55kg</t>
  </si>
  <si>
    <t>비      고</t>
  </si>
  <si>
    <t>재료비 조정률</t>
  </si>
  <si>
    <t>AAA310201001</t>
  </si>
  <si>
    <t>JUK8</t>
  </si>
  <si>
    <t>자재 19</t>
  </si>
  <si>
    <t>B20</t>
  </si>
  <si>
    <t>교육시설 안정성평가</t>
  </si>
  <si>
    <t>방청페인트, KSM6030-1종2류, 광명단페인트</t>
  </si>
  <si>
    <t>호표 28</t>
  </si>
  <si>
    <t>.EQ=LA(10, 0, 20) * 0.01</t>
  </si>
  <si>
    <t>5</t>
  </si>
  <si>
    <t>강관비계, 비계파이프, 48.6*2.3mm</t>
  </si>
  <si>
    <t>노무비*3.56%</t>
  </si>
  <si>
    <t>인력품의 60%</t>
  </si>
  <si>
    <t>400*1829mm</t>
  </si>
  <si>
    <t>.MA=MA(30) * 0.21</t>
  </si>
  <si>
    <t>AOC600010700</t>
  </si>
  <si>
    <t>1회 사이클시간</t>
  </si>
  <si>
    <t>철재면</t>
  </si>
  <si>
    <t>공사현장 폴딩도어</t>
  </si>
  <si>
    <t>고장력볼트, F10T, M20×75mm</t>
  </si>
  <si>
    <t>JUK17</t>
  </si>
  <si>
    <t>ZZB140100000</t>
  </si>
  <si>
    <t>2411159820277752</t>
  </si>
  <si>
    <t>0101</t>
  </si>
  <si>
    <t>Z000000000000015</t>
  </si>
  <si>
    <t xml:space="preserve"> L3 '공사장내 운반거리(km)' =0.5</t>
  </si>
  <si>
    <t>간  접  노  무  비</t>
  </si>
  <si>
    <t>( 호표 46 ) 강관비계(외줄) 설치 및 해체 10m 이하 M2</t>
  </si>
  <si>
    <t xml:space="preserve"> 재료비:  31921 / 7.0671 * Z = 381.89</t>
  </si>
  <si>
    <t>82</t>
  </si>
  <si>
    <t>케미컬앵커</t>
  </si>
  <si>
    <t>ANS100122700</t>
  </si>
  <si>
    <t>방음문, 문선</t>
  </si>
  <si>
    <t>AAA16300010S</t>
  </si>
  <si>
    <t>호표 11</t>
  </si>
  <si>
    <t>AQA900150047</t>
  </si>
  <si>
    <t>T0N</t>
  </si>
  <si>
    <t>ZZB400100000</t>
  </si>
  <si>
    <t>건축 1-2-3</t>
  </si>
  <si>
    <t>호표 54</t>
  </si>
  <si>
    <t>공통 2-2-5, 2-2-3.3</t>
  </si>
  <si>
    <t>컨테이너하우스, 창고용, 3.0×9.0×2.6m</t>
  </si>
  <si>
    <t>L001010101000015</t>
  </si>
  <si>
    <t>컨테이너하우스, 창고용, 3.0*9.0*2.6m</t>
  </si>
  <si>
    <t xml:space="preserve"> 경    비:  16873 / 7.0671 = 2387.54</t>
  </si>
  <si>
    <t>3010170422304422</t>
  </si>
  <si>
    <t>시간당작업량</t>
  </si>
  <si>
    <t>010111</t>
  </si>
  <si>
    <t>0.32</t>
  </si>
  <si>
    <t>CQ0</t>
  </si>
  <si>
    <t>앙카용철물</t>
  </si>
  <si>
    <t>드릴비트</t>
  </si>
  <si>
    <t>비계주위 보호망 설치 및 해체</t>
  </si>
  <si>
    <t>비계공</t>
  </si>
  <si>
    <t>Q20</t>
  </si>
  <si>
    <t>자재 75</t>
  </si>
  <si>
    <t>( 호표 58 ) 크레인(타이어) 20ton HR</t>
  </si>
  <si>
    <t>( 호표 61 ) 트럭 트랙터 및 평판트레일러 20ton HR</t>
  </si>
  <si>
    <t>컨테이너하우스, 사무실용, 3.0×9.0×2.6m</t>
  </si>
  <si>
    <t xml:space="preserve"> 3.인력편성 </t>
  </si>
  <si>
    <t>원내역</t>
  </si>
  <si>
    <t>자재단가적용</t>
  </si>
  <si>
    <t xml:space="preserve"> Q  '크레인상,하차작업량(ton/hr)' =(3600*q1*f*Es/Cms)=?</t>
  </si>
  <si>
    <t>L-12(1200mm)</t>
  </si>
  <si>
    <t>Rolled shape, 60ton 미만</t>
  </si>
  <si>
    <t>( 호표 4 ) 가설게이트 설치(폴딩도어) 5000*3000 개소</t>
  </si>
  <si>
    <t>311630002000800A</t>
  </si>
  <si>
    <t xml:space="preserve"> 노무비:  279613 * 2/8/40 = 1747.58</t>
  </si>
  <si>
    <t>10</t>
  </si>
  <si>
    <t>301999952187B043</t>
  </si>
  <si>
    <t>YZD006000000</t>
  </si>
  <si>
    <t>철골공수 산정방법&lt;소요 부자재량&gt;</t>
  </si>
  <si>
    <t>경량벽체철골틀 해체</t>
  </si>
  <si>
    <t>1438</t>
  </si>
  <si>
    <t>C20+C30+C70+C90+CA0+CB0+CC0+CE0+C60+CH0+CD0+CH3+CH4+CQ0+CT0+CU0+CV0+CW0</t>
  </si>
  <si>
    <t>3.0*9.0*2.6m</t>
  </si>
  <si>
    <t>손료</t>
  </si>
  <si>
    <t>73</t>
  </si>
  <si>
    <t>.MA=LA(10, 20) * 0.03</t>
  </si>
  <si>
    <t>시스템비계-수평재</t>
  </si>
  <si>
    <t>공통 2-11-2</t>
  </si>
  <si>
    <t>P30+Q10+Q20+Q30+Q40+Q50+Q60</t>
  </si>
  <si>
    <t>&gt;소계</t>
  </si>
  <si>
    <t>TRUNC(1950*0.25*0.25*0.03, 4)</t>
  </si>
  <si>
    <t>자재 20</t>
  </si>
  <si>
    <t>강관비계, 연결핀 Φ48.6×225mm</t>
  </si>
  <si>
    <t>내장공</t>
  </si>
  <si>
    <t>.MA=MA(10, 20, 30, 40, 50, 60) * 0.1</t>
  </si>
  <si>
    <t>3.0*9.0*2.6m (경비로 적용)</t>
  </si>
  <si>
    <t>잡재료</t>
  </si>
  <si>
    <t>녹막이페인트(뿜칠)</t>
  </si>
  <si>
    <t>YZD004000000</t>
  </si>
  <si>
    <t>3019160220140483</t>
  </si>
  <si>
    <t>( 호표 39 ) 콘테이너형 가설건축물 설치 및 해체 3.0*9.0*2.6m 개소</t>
  </si>
  <si>
    <t>AEE00000010S</t>
  </si>
  <si>
    <t>유지보수 3-2-5</t>
  </si>
  <si>
    <t>3019160220140460</t>
  </si>
  <si>
    <t>유지보수 3-2-2</t>
  </si>
  <si>
    <t>AAB215102010</t>
  </si>
  <si>
    <t>자재 18</t>
  </si>
  <si>
    <t>( 호표 55 ) 주각부 무수축 모르타르 충전 300*300MM 개소</t>
  </si>
  <si>
    <t>( 호표 12 ) 샌드위치(단열)패널설치 - 내벽 샌드위치패널 50mm M2</t>
  </si>
  <si>
    <t>제경비</t>
  </si>
  <si>
    <t>자재 76</t>
  </si>
  <si>
    <t>AAA16300090S</t>
  </si>
  <si>
    <t>.MA=MA(110) * 1</t>
  </si>
  <si>
    <t>경 비</t>
  </si>
  <si>
    <t>시스템비계-대각재</t>
  </si>
  <si>
    <t>12.7T, 방염</t>
  </si>
  <si>
    <t>010104</t>
  </si>
  <si>
    <t>중간처리 대상, 24ton 덤프트럭</t>
  </si>
  <si>
    <t>[ 소          계 ]</t>
  </si>
  <si>
    <t>자재 63</t>
  </si>
  <si>
    <t>조달청가격</t>
  </si>
  <si>
    <t>자재 13</t>
  </si>
  <si>
    <t>산근 1</t>
  </si>
  <si>
    <t>공통 2-3-2</t>
  </si>
  <si>
    <t>751</t>
  </si>
  <si>
    <t>경비 5</t>
  </si>
  <si>
    <t>경유, 저유황</t>
  </si>
  <si>
    <t>98</t>
  </si>
  <si>
    <t xml:space="preserve"> 1.트랙터및트레일러(20ton/hr) </t>
  </si>
  <si>
    <t>거래가격</t>
  </si>
  <si>
    <t>SP-90,125</t>
  </si>
  <si>
    <t>부대철골 설치</t>
  </si>
  <si>
    <t>ANS100122511</t>
  </si>
  <si>
    <t>철골 세우기 - 현장세우기</t>
  </si>
  <si>
    <t>CW0</t>
  </si>
  <si>
    <t>Dispenser HDM 330</t>
  </si>
  <si>
    <t>재료비의 5%</t>
  </si>
  <si>
    <t>합산제외</t>
  </si>
  <si>
    <t>F</t>
  </si>
  <si>
    <t>(재료비+노무비)* 4.6%</t>
  </si>
  <si>
    <t>(1.1*4)/(0.55*2.4)*0.29</t>
  </si>
  <si>
    <t>자재 17</t>
  </si>
  <si>
    <t xml:space="preserve"> Z   차량실 작업량(ton/hr)  =(T2+T4)/CM*(1/Q)= 0.08455  </t>
  </si>
  <si>
    <t>유리철거</t>
  </si>
  <si>
    <t>호표 26</t>
  </si>
  <si>
    <t>비 고</t>
  </si>
  <si>
    <t>경비 1</t>
  </si>
  <si>
    <t>.MA=MA(30) * 0.39</t>
  </si>
  <si>
    <t>폐목재</t>
  </si>
  <si>
    <t>ZZC000100000</t>
  </si>
  <si>
    <t>AQA80000290S</t>
  </si>
  <si>
    <t>YZS004000000</t>
  </si>
  <si>
    <t>10m2</t>
  </si>
  <si>
    <t>계</t>
  </si>
  <si>
    <t>특별인부</t>
  </si>
  <si>
    <t>샌드위치패널, EPS(0.020), 벽재, 50mm</t>
  </si>
  <si>
    <t>호표 39</t>
  </si>
  <si>
    <t>경유</t>
  </si>
  <si>
    <t>시스템비계 설치 및 해체</t>
  </si>
  <si>
    <t>주재료비의 100%</t>
  </si>
  <si>
    <t>비닐타일 해체</t>
  </si>
  <si>
    <t>ROUNDDOWN(1/0.55*4*0.12, 4)</t>
  </si>
  <si>
    <t xml:space="preserve"> Es  적재효율 =0.5</t>
  </si>
  <si>
    <t>DZZ+E10+E20+CE1+F30+F40+F10+F60+F70</t>
  </si>
  <si>
    <t>C90</t>
  </si>
  <si>
    <t>본</t>
  </si>
  <si>
    <t xml:space="preserve"> CM '1회 싸이클 시간(분)' =t1+t2+t3+t4+t6=?</t>
  </si>
  <si>
    <t>2인</t>
  </si>
  <si>
    <t>AQA900150071</t>
  </si>
  <si>
    <t xml:space="preserve"> L2 '도로주행 운반거리(km)' =29.5</t>
  </si>
  <si>
    <t>S-38(3800mm)</t>
  </si>
  <si>
    <t>2.3</t>
  </si>
  <si>
    <t>호표 12</t>
  </si>
  <si>
    <t>건축 1-2-1</t>
  </si>
  <si>
    <t>자재 2</t>
  </si>
  <si>
    <t>개소</t>
  </si>
  <si>
    <t>3019169920140418</t>
  </si>
  <si>
    <t>샌드위치(단열)패널 설치 - 칸막이벽</t>
  </si>
  <si>
    <t>3개월, H=4.0M(발판유)</t>
  </si>
  <si>
    <t>호표 56</t>
  </si>
  <si>
    <t>( 호표 33 ) 비닐타일 해체  M2</t>
  </si>
  <si>
    <t>자재 48</t>
  </si>
  <si>
    <t>매</t>
  </si>
  <si>
    <t>010103  목공사</t>
  </si>
  <si>
    <t>도장공</t>
  </si>
  <si>
    <t>노임 13</t>
  </si>
  <si>
    <t>JUK6</t>
  </si>
  <si>
    <t>4939227</t>
  </si>
  <si>
    <t>할증</t>
  </si>
  <si>
    <t>3.545</t>
  </si>
  <si>
    <t>물가정보</t>
  </si>
  <si>
    <t>56</t>
  </si>
  <si>
    <t>시스템비계-(계단/난간)</t>
  </si>
  <si>
    <t>AAA310545012</t>
  </si>
  <si>
    <t>301999952187B045</t>
  </si>
  <si>
    <t>철골,콘크리트스라브 철거</t>
  </si>
  <si>
    <t>( 호표 53 ) 샌드위치(단열)패널 설치 - 칸막이벽 두께 50~100mm 기준 M2</t>
  </si>
  <si>
    <t>1511151020204251</t>
  </si>
  <si>
    <t>창호철거</t>
  </si>
  <si>
    <t>건축물 현장정리</t>
  </si>
  <si>
    <t>PPS00000001</t>
  </si>
  <si>
    <t>&gt;&gt;&gt;&gt;&gt;총합계</t>
  </si>
  <si>
    <t>( 호표 43 ) 가설울타리판 설치 설치높이 3m 이하 10M</t>
  </si>
  <si>
    <t>호표 31</t>
  </si>
  <si>
    <t>1189</t>
  </si>
  <si>
    <t>62</t>
  </si>
  <si>
    <t>호표 14</t>
  </si>
  <si>
    <t>자재 49</t>
  </si>
  <si>
    <t>492</t>
  </si>
  <si>
    <t xml:space="preserve"> t4 '적재대기시간(분)' =0.42</t>
  </si>
  <si>
    <t>ROUNDDOWN(((1/3.6)*(1.5+0.25)+4)/2.3*0.12, 4)</t>
  </si>
  <si>
    <t>노인장기요양보험료</t>
  </si>
  <si>
    <t>호표 67</t>
  </si>
  <si>
    <t>경비 9</t>
  </si>
  <si>
    <t>JUK15</t>
  </si>
  <si>
    <t>168</t>
  </si>
  <si>
    <t>알루미늄</t>
  </si>
  <si>
    <t>함마드릴</t>
  </si>
  <si>
    <t>비계안정장치, 6" 바퀴</t>
  </si>
  <si>
    <t>106</t>
  </si>
  <si>
    <t>공구손료및경장비(엔진식도장기등)</t>
  </si>
  <si>
    <t>기둥밑 무수축 고름모르타르</t>
  </si>
  <si>
    <t>0000210400200000</t>
  </si>
  <si>
    <t>호표 57</t>
  </si>
  <si>
    <t>3019160222330656</t>
  </si>
  <si>
    <t>3019160220140479</t>
  </si>
  <si>
    <t>구조체철거공사</t>
  </si>
  <si>
    <t>적용률</t>
  </si>
  <si>
    <t>공통 8-3,4(0201)</t>
  </si>
  <si>
    <t>( 호표 26 ) 흡음텍스 해체 해체재 재사용 안함 M2</t>
  </si>
  <si>
    <t>케미컬약액</t>
  </si>
  <si>
    <t>( 호표 67 ) 콘테이너형 가설건축물 설치 3.0*9.0*2.6m (경비로 적용) 개소</t>
  </si>
  <si>
    <t>.MA=LA(10, 20) * 0.02</t>
  </si>
  <si>
    <t>육각볼트</t>
  </si>
  <si>
    <t>건설폐기물 상차비 - 중량기준</t>
  </si>
  <si>
    <t>안전발판(유공발판)</t>
  </si>
  <si>
    <t>ZZD000100000</t>
  </si>
  <si>
    <t>P10+P20</t>
  </si>
  <si>
    <t>비계안정장치, 손잡이, 1229mm</t>
  </si>
  <si>
    <t>노임구분</t>
  </si>
  <si>
    <t>[  경기도어린이박물관 강당 리모델링공사(1차) ]</t>
  </si>
  <si>
    <t>0.05*0.5</t>
  </si>
  <si>
    <t>수량</t>
  </si>
  <si>
    <t>T=16</t>
  </si>
  <si>
    <t>010111  페기물처리비</t>
  </si>
  <si>
    <t>연강용피복아크용접봉</t>
  </si>
  <si>
    <t>시스템비계-수직재</t>
  </si>
  <si>
    <t>741</t>
  </si>
  <si>
    <t>010110</t>
  </si>
  <si>
    <t xml:space="preserve"> [ 합          계 ]</t>
  </si>
  <si>
    <t>벽체틀 설치</t>
  </si>
  <si>
    <t>합  계의 100%</t>
  </si>
  <si>
    <t>'노무비:' LA("00002702002000000") / {Q} =?EQ</t>
  </si>
  <si>
    <t>관람석의자 철거</t>
  </si>
  <si>
    <t>P30</t>
  </si>
  <si>
    <t>B10+B20</t>
  </si>
  <si>
    <t>비  고</t>
  </si>
  <si>
    <t>비계안정장치, 가새, 1.2×1.9m</t>
  </si>
  <si>
    <t>호표 22</t>
  </si>
  <si>
    <t>105</t>
  </si>
  <si>
    <t>70</t>
  </si>
  <si>
    <t>공급가액 * 10%</t>
  </si>
  <si>
    <t>호표 20</t>
  </si>
  <si>
    <t>호표 64</t>
  </si>
  <si>
    <t>YZA001000000</t>
  </si>
  <si>
    <t>환경보전비</t>
  </si>
  <si>
    <t>육각볼트, M20×100</t>
  </si>
  <si>
    <t>합 계</t>
  </si>
  <si>
    <t>운반비(트레일러 20ton+크레인 10ton)</t>
  </si>
  <si>
    <t>ZZG000100000</t>
  </si>
  <si>
    <t>호표 45</t>
  </si>
  <si>
    <t>139714829</t>
  </si>
  <si>
    <t>시간당 작업사이클</t>
  </si>
  <si>
    <t>AD0201000100</t>
  </si>
  <si>
    <t>호표 1</t>
  </si>
  <si>
    <t>건축 1-4-1</t>
  </si>
  <si>
    <t>813K010202000200</t>
  </si>
  <si>
    <t>F60</t>
  </si>
  <si>
    <t>노임 4</t>
  </si>
  <si>
    <t>CD0</t>
  </si>
  <si>
    <t>1119160221867609</t>
  </si>
  <si>
    <t>고장력볼트</t>
  </si>
  <si>
    <t>공종구분명</t>
  </si>
  <si>
    <t>콘테이너형 가설건축물 해체</t>
  </si>
  <si>
    <t>인</t>
  </si>
  <si>
    <t>CT0</t>
  </si>
  <si>
    <t>노무비의 2%</t>
  </si>
  <si>
    <t>010102</t>
  </si>
  <si>
    <t>( 호표 44 ) 가설울타리판 해체 설치높이 3m 이하 10M</t>
  </si>
  <si>
    <t>유지보수 3-2-6</t>
  </si>
  <si>
    <t>YZA002000000</t>
  </si>
  <si>
    <t>173</t>
  </si>
  <si>
    <t>3121180321870999</t>
  </si>
  <si>
    <t>( 호표 25 ) 경량벽체철골틀 설치C-100) 100×45@450, H=3.5M이하 M2</t>
  </si>
  <si>
    <t>컨테이너형 가설건축물 - 창고</t>
  </si>
  <si>
    <t>자재 64</t>
  </si>
  <si>
    <t>산 출 내 역</t>
  </si>
  <si>
    <t>010106</t>
  </si>
  <si>
    <t>AAD150105212</t>
  </si>
  <si>
    <t>화물차운전사</t>
  </si>
  <si>
    <t>1214190420204087</t>
  </si>
  <si>
    <t>SEQNO</t>
  </si>
  <si>
    <t>0.2496*0.5</t>
  </si>
  <si>
    <t>공통 2-4-1</t>
  </si>
  <si>
    <t>AAA28000020S</t>
  </si>
  <si>
    <t>건축 4-2-1</t>
  </si>
  <si>
    <t>F70</t>
  </si>
  <si>
    <t>E30016</t>
  </si>
  <si>
    <t>자재 67</t>
  </si>
  <si>
    <t>호표 30</t>
  </si>
  <si>
    <t>3개월</t>
  </si>
  <si>
    <t>3023169920139637</t>
  </si>
  <si>
    <t>ANB133376011</t>
  </si>
  <si>
    <t>A20</t>
  </si>
  <si>
    <t>베이스플레이트, 받침철물</t>
  </si>
  <si>
    <t>L001010101000006</t>
  </si>
  <si>
    <t>자재 51</t>
  </si>
  <si>
    <t>301999952187B051</t>
  </si>
  <si>
    <t>자재 34</t>
  </si>
  <si>
    <t>AAA162040003</t>
  </si>
  <si>
    <t>중 기 단 가 목 록</t>
  </si>
  <si>
    <t xml:space="preserve"> E  '작업효율' =0.9</t>
  </si>
  <si>
    <t>311630002000010A</t>
  </si>
  <si>
    <t xml:space="preserve"> t6  '세륜시간 (분)' =1.5</t>
  </si>
  <si>
    <t>경      비</t>
  </si>
  <si>
    <t>샌드위치(단열)패널설치 - 내벽</t>
  </si>
  <si>
    <t>614</t>
  </si>
  <si>
    <t>일반변수</t>
  </si>
  <si>
    <t>622</t>
  </si>
  <si>
    <t>자재 43</t>
  </si>
  <si>
    <t>모르타르, 무수축모르타르, GP600</t>
  </si>
  <si>
    <t>자재 68</t>
  </si>
  <si>
    <t>비계안정장치, 바퀴</t>
  </si>
  <si>
    <t>010109</t>
  </si>
  <si>
    <t>P10*%%</t>
  </si>
  <si>
    <t>공구손료 및 잡재료비</t>
  </si>
  <si>
    <t>01</t>
  </si>
  <si>
    <t>3019160220140486</t>
  </si>
  <si>
    <t>30*30,@450*450 W=400</t>
  </si>
  <si>
    <t>모든 건설공사</t>
  </si>
  <si>
    <t>트럭탑재형 크레인</t>
  </si>
  <si>
    <t>노  무  비</t>
  </si>
  <si>
    <t>중간처리 대상, 24ton 덤프트럭, 30km</t>
  </si>
  <si>
    <t>일 위 대 가</t>
  </si>
  <si>
    <t>자재 52</t>
  </si>
  <si>
    <t>69</t>
  </si>
  <si>
    <t>3012170220437137</t>
  </si>
  <si>
    <t>( 호표 14 ) 철골 세우기 - 크레인(타이어) 20ton 창고 소규모, 공장 대규모 건물 트러스 거더류 TON</t>
  </si>
  <si>
    <t>PB0302100300</t>
  </si>
  <si>
    <t>건축 1-1-2</t>
  </si>
  <si>
    <t>0.005</t>
  </si>
  <si>
    <t>용접형강</t>
  </si>
  <si>
    <t xml:space="preserve"> Es '작업효율' =0.5</t>
  </si>
  <si>
    <t>트럭 트랙터 및 트레일러</t>
  </si>
  <si>
    <t>노임 7</t>
  </si>
  <si>
    <t>(재료비+직노+기계경비) * 0.32%</t>
  </si>
  <si>
    <t>TRUNC((1/0.45+1/0.45)*0.03*0.03*300*1.1, 4)</t>
  </si>
  <si>
    <t>JUK7</t>
  </si>
  <si>
    <t>386</t>
  </si>
  <si>
    <t>(재료비+직노+기계경비) * 0.081%</t>
  </si>
  <si>
    <t>.MA=LA(10,0,17) * 0.05</t>
  </si>
  <si>
    <t>010101  가설공사</t>
  </si>
  <si>
    <t>추정금액 1억원이상 건설공사</t>
  </si>
  <si>
    <t>43</t>
  </si>
  <si>
    <t>조정률</t>
  </si>
  <si>
    <t>420</t>
  </si>
  <si>
    <t>일 위 대 가 목 록</t>
  </si>
  <si>
    <t>0.075</t>
  </si>
  <si>
    <t>110</t>
  </si>
  <si>
    <t xml:space="preserve"> 노무비:  58296 / 7.0671 = 8248.92</t>
  </si>
  <si>
    <t>30T,250*250</t>
  </si>
  <si>
    <t>재   료   비</t>
  </si>
  <si>
    <t>DZZ</t>
  </si>
  <si>
    <t>0.04</t>
  </si>
  <si>
    <t>직접노무비* 15%</t>
  </si>
  <si>
    <t>TOTAL</t>
  </si>
  <si>
    <t>자재 35</t>
  </si>
  <si>
    <t>1198</t>
  </si>
  <si>
    <t>( 호표 38 ) 유리철거  M2</t>
  </si>
  <si>
    <t>바닥카펫 해체</t>
  </si>
  <si>
    <t>83</t>
  </si>
  <si>
    <t>직  접  재  료  비</t>
  </si>
  <si>
    <t>재료비 할증 계수</t>
  </si>
  <si>
    <t>00002702002000000</t>
  </si>
  <si>
    <t>4619160120096948</t>
  </si>
  <si>
    <t>SET</t>
  </si>
  <si>
    <t>노임 2</t>
  </si>
  <si>
    <t xml:space="preserve"> 노무비:  50142 / 40 = 1253.55</t>
  </si>
  <si>
    <t>( 호표 16 ) 철골 세우기 - 현장세우기 6층 미만 TON</t>
  </si>
  <si>
    <t>미장공</t>
  </si>
  <si>
    <t>'1.트랙터및트레일러(20ton/hr)'</t>
  </si>
  <si>
    <t>149</t>
  </si>
  <si>
    <t>자재 72</t>
  </si>
  <si>
    <t>30*30,@450*450</t>
  </si>
  <si>
    <t>.MA=LA(10, 10, 20, 20) * 0.06</t>
  </si>
  <si>
    <t>하47</t>
  </si>
  <si>
    <t>1185</t>
  </si>
  <si>
    <t>볼트/너트</t>
  </si>
  <si>
    <t>0.2 ㎥</t>
  </si>
  <si>
    <t>손료저장</t>
  </si>
  <si>
    <t>311630002002030A</t>
  </si>
  <si>
    <t>일위대가</t>
  </si>
  <si>
    <t>YZD015000000</t>
  </si>
  <si>
    <t>물자P148</t>
  </si>
  <si>
    <t>직접노무비 * 4.5%</t>
  </si>
  <si>
    <t>.MA=LA(20) * 0.6</t>
  </si>
  <si>
    <t>자재 71</t>
  </si>
  <si>
    <t>굴삭기(무한궤도)</t>
  </si>
  <si>
    <t>010104  금속공사</t>
  </si>
  <si>
    <t>( 호표 64 ) 도장 후 퍼티 및 연마 노무비 M2</t>
  </si>
  <si>
    <t>588</t>
  </si>
  <si>
    <t>125</t>
  </si>
  <si>
    <t>자재 22</t>
  </si>
  <si>
    <t>( 호표 37 ) 창호철거 방음문, 문선 M2</t>
  </si>
  <si>
    <t>노무비단가적용</t>
  </si>
  <si>
    <t>강관 조립말비계(이동식)설치 및 해체</t>
  </si>
  <si>
    <t>주각부 무수축 모르타르 충전</t>
  </si>
  <si>
    <t xml:space="preserve"> 노무비:  171037 * 1/8/40 = 534.49  </t>
  </si>
  <si>
    <t>516</t>
  </si>
  <si>
    <t>내부수평비계(틀비계)  설치및 해체</t>
  </si>
  <si>
    <t>CZZ</t>
  </si>
  <si>
    <t>1472</t>
  </si>
  <si>
    <t>건축 5-3-3</t>
  </si>
  <si>
    <t>AAD16000020S</t>
  </si>
  <si>
    <t>AAC21100040S</t>
  </si>
  <si>
    <t>경        비</t>
  </si>
  <si>
    <t>1.1</t>
  </si>
  <si>
    <t>부직포 설치</t>
  </si>
  <si>
    <t>.MA=LA(30, 40) * 0.12</t>
  </si>
  <si>
    <t>퇴직  공제  부금비</t>
  </si>
  <si>
    <t>산소가스</t>
  </si>
  <si>
    <t>공통 2-8-7</t>
  </si>
  <si>
    <t>도급자설치관급자재</t>
  </si>
  <si>
    <t>CH0</t>
  </si>
  <si>
    <t>YZD005000000</t>
  </si>
  <si>
    <t>( 호표 52 ) 철골공수 산정방법&lt;소요 부자재량&gt; H형강부재(Rolled shape) TON</t>
  </si>
  <si>
    <t>YZS002000000</t>
  </si>
  <si>
    <t>-514767</t>
  </si>
  <si>
    <t>비계안정장치, 손잡이기둥</t>
  </si>
  <si>
    <t>3010369820141039</t>
  </si>
  <si>
    <t>경량벽체철골틀 설치C-100)</t>
  </si>
  <si>
    <t>6층 미만</t>
  </si>
  <si>
    <t>자재 30</t>
  </si>
  <si>
    <t>자재 44</t>
  </si>
  <si>
    <t>3019160620140651</t>
  </si>
  <si>
    <t>615</t>
  </si>
  <si>
    <t>받침철물손료</t>
  </si>
  <si>
    <t>E20500</t>
  </si>
  <si>
    <t>0.07</t>
  </si>
  <si>
    <t>1/8*16/12*25/20*12/10</t>
  </si>
  <si>
    <t>변수</t>
  </si>
  <si>
    <t/>
  </si>
  <si>
    <t>8118005000000224</t>
  </si>
  <si>
    <t>재료비 단가 적용률</t>
  </si>
  <si>
    <t>자재 11</t>
  </si>
  <si>
    <t>자재 24</t>
  </si>
  <si>
    <t xml:space="preserve"> t1 '적재시간(분)' =(Cms*n)/(60*Es)=?</t>
  </si>
  <si>
    <t>L001010101000011</t>
  </si>
  <si>
    <t>철강설, 알루미늄, 작업설부산물</t>
  </si>
  <si>
    <t>E10060</t>
  </si>
  <si>
    <t>673</t>
  </si>
  <si>
    <t>301999952187B010</t>
  </si>
  <si>
    <t>인력품의 12%</t>
  </si>
  <si>
    <t>m2</t>
  </si>
  <si>
    <t>AAD150105200</t>
  </si>
  <si>
    <t>호표 66</t>
  </si>
  <si>
    <t xml:space="preserve"> L1  작업장내 운반거리(km)  =0</t>
  </si>
  <si>
    <t>AAD151100010</t>
  </si>
  <si>
    <t>착암공</t>
  </si>
  <si>
    <t>호표 24</t>
  </si>
  <si>
    <t>건축목공</t>
  </si>
  <si>
    <t>가설자재</t>
  </si>
  <si>
    <t>AEE910401004</t>
  </si>
  <si>
    <t>'경    비:' EQ("00002702002000000") / {Q} = ?EQ</t>
  </si>
  <si>
    <t>( 호표 15 ) 철골 가공 조립(적은 구조) Rolled shape, 60ton 미만 TON</t>
  </si>
  <si>
    <t>( 호표 10 ) 건축물 현장정리 목조, 철골조, 조적조 M2</t>
  </si>
  <si>
    <t>순   공   사   원   가</t>
  </si>
  <si>
    <t>JUK1</t>
  </si>
  <si>
    <t>.MA=LA(20) * 0.05</t>
  </si>
  <si>
    <t>호표 58</t>
  </si>
  <si>
    <t>목조, 철골조, 조적조</t>
  </si>
  <si>
    <t>호표 2</t>
  </si>
  <si>
    <t>0.081</t>
  </si>
  <si>
    <t>W10</t>
  </si>
  <si>
    <t>내역,일위대가 품명,규격,단위 따로적용</t>
  </si>
  <si>
    <t>( 호표 2 ) 컨테이너형 가설건축물 - 창고 3.0×9.0×2.6m, 3개월 개소</t>
  </si>
  <si>
    <t>호표 51</t>
  </si>
  <si>
    <t>3019160220140457</t>
  </si>
  <si>
    <t>ANA000210021</t>
  </si>
  <si>
    <t>경비 7</t>
  </si>
  <si>
    <t>클램프 고정,자동</t>
  </si>
  <si>
    <t>ㅁ-100*100*3.2</t>
  </si>
  <si>
    <t>( 호표 1 ) 컨테이너형 가설건축물 - 사무실 3.0×9.0×2.6m, 3개월 개소</t>
  </si>
  <si>
    <t>( 호표 31 ) 관람석의자 철거  EA</t>
  </si>
  <si>
    <t>ZZB300100000</t>
  </si>
  <si>
    <t>1510150520282163</t>
  </si>
  <si>
    <t>( 호표 51 ) 시스템비계 설치 및 해체 10m 이하 M2</t>
  </si>
  <si>
    <t>108</t>
  </si>
  <si>
    <t>하32</t>
  </si>
  <si>
    <t>HY 200 + HIT-C M16×190</t>
  </si>
  <si>
    <t>.MA=MA(30) * 0.2</t>
  </si>
  <si>
    <t>L001010101000030</t>
  </si>
  <si>
    <t>AAA16300100S</t>
  </si>
  <si>
    <t>자재 40</t>
  </si>
  <si>
    <t>0.025*0.5</t>
  </si>
  <si>
    <t>주입 건</t>
  </si>
  <si>
    <t>비계안정장치, 비계기본틀, 기둥, 1.2×1.7m</t>
  </si>
  <si>
    <t>그 밖의 건설폐기물에 가연성 5% 이하 혼합</t>
  </si>
  <si>
    <t>JUK12</t>
  </si>
  <si>
    <t>8</t>
  </si>
  <si>
    <t>0.014</t>
  </si>
  <si>
    <t>자재</t>
  </si>
  <si>
    <t>ZZF000100000</t>
  </si>
  <si>
    <t>호표 50</t>
  </si>
  <si>
    <t>PAGE</t>
  </si>
  <si>
    <t>자재 50</t>
  </si>
  <si>
    <t>( 호표 35 ) 유리난간철거  M</t>
  </si>
  <si>
    <t>연강용피복아크용접봉, CR-13, Φ3.2mm</t>
  </si>
  <si>
    <t>품목코드</t>
  </si>
  <si>
    <t>SS-1819(L:2637mm)</t>
  </si>
  <si>
    <t>자재 53</t>
  </si>
  <si>
    <t>.MA=MA(10) * 0.05</t>
  </si>
  <si>
    <t>자재 15</t>
  </si>
  <si>
    <t>자재 32</t>
  </si>
  <si>
    <t>400×1829mm</t>
  </si>
  <si>
    <t>높이=4.0m이하</t>
  </si>
  <si>
    <t>010102  철골공사</t>
  </si>
  <si>
    <t>1/8*16/12*25/20*24/15</t>
  </si>
  <si>
    <t>노무비 단가 적용률</t>
  </si>
  <si>
    <t>3019160220140485</t>
  </si>
  <si>
    <t>주재료비의 10%</t>
  </si>
  <si>
    <t>국민  건강  보험료</t>
  </si>
  <si>
    <t>T</t>
  </si>
  <si>
    <t>JUK19</t>
  </si>
  <si>
    <t>재  료  비</t>
  </si>
  <si>
    <t>액화석유가스</t>
  </si>
  <si>
    <t>경비 3</t>
  </si>
  <si>
    <t>00002104005000000</t>
  </si>
  <si>
    <t>강관 지주 설치</t>
  </si>
  <si>
    <t>퍼티, 319퍼티, 백색</t>
  </si>
  <si>
    <t>노임 9</t>
  </si>
  <si>
    <t>시스템비계-난간대</t>
  </si>
  <si>
    <t>기   타    경   비</t>
  </si>
  <si>
    <t>( 호표 17 ) 부대철골 설치  TON</t>
  </si>
  <si>
    <t xml:space="preserve"> V1  작업장내 운반속도(km/hr)  =0</t>
  </si>
  <si>
    <t>두께 50~100mm 기준</t>
  </si>
  <si>
    <t>비계안정장치, 발판 40*200*2000</t>
  </si>
  <si>
    <t>유지보수 3-2-3</t>
  </si>
  <si>
    <t>102×40×0.8t</t>
  </si>
  <si>
    <t>'재료비:' MA("00002105001000000") / {Q} =?EQ</t>
  </si>
  <si>
    <t>B10</t>
  </si>
  <si>
    <t>호표번호</t>
  </si>
  <si>
    <t>간  접  재  료  비</t>
  </si>
  <si>
    <t xml:space="preserve"> L1 '작업장내 운반거리(km)' =0</t>
  </si>
  <si>
    <t>흡음텍스 해체</t>
  </si>
  <si>
    <t>관급자설치관급자재</t>
  </si>
  <si>
    <t>107</t>
  </si>
  <si>
    <t>( 호표 66 ) 도장 후 퍼티 및 연마 재료비 철재면 M2</t>
  </si>
  <si>
    <t>샌드위치패널 50mm</t>
  </si>
  <si>
    <t>호표 27</t>
  </si>
  <si>
    <t xml:space="preserve"> Q  '시간당 작업량(ton/hr)' =(60*q0*f*E)/CM=?</t>
  </si>
  <si>
    <t xml:space="preserve"> f   환산계수  =1</t>
  </si>
  <si>
    <t>수동식소화기</t>
  </si>
  <si>
    <t>경비 6</t>
  </si>
  <si>
    <t>유통물가</t>
  </si>
  <si>
    <t xml:space="preserve"> t3  적하시간(분) =(Cms*n)/(60*Es)= 30</t>
  </si>
  <si>
    <t>호표 68</t>
  </si>
  <si>
    <t>앵커롯드</t>
  </si>
  <si>
    <t>.EQ=TOT(10, 0, 30) * 1</t>
  </si>
  <si>
    <t>트럭 트랙터 및 평판트레일러</t>
  </si>
  <si>
    <t>50ton</t>
  </si>
  <si>
    <t>300*300MM</t>
  </si>
  <si>
    <t>H형강부재(Rolled shape)</t>
  </si>
  <si>
    <t>모르타르</t>
  </si>
  <si>
    <t>3544850</t>
  </si>
  <si>
    <t>도      급      액</t>
  </si>
  <si>
    <t>2411159820277755</t>
  </si>
  <si>
    <t>ZZB700100000</t>
  </si>
  <si>
    <t>3019160220140478</t>
  </si>
  <si>
    <t>혼합건설폐기물(가연성)</t>
  </si>
  <si>
    <t>.EQ = TOT(10,0,30) * 1</t>
  </si>
  <si>
    <t>100×45×0.8T</t>
  </si>
  <si>
    <t>비계안정장치, 앙카용철물</t>
  </si>
  <si>
    <t>( 호표 47 ) 강관비계(외줄) 설치 및 해체 10m 이하 M2</t>
  </si>
  <si>
    <t>AJO11000010S</t>
  </si>
  <si>
    <t>AAA310201003</t>
  </si>
  <si>
    <t>Cms  묶기30,회전30,풀기30(초) =30+30+30= 90</t>
  </si>
  <si>
    <t>경사면소운반30%</t>
  </si>
  <si>
    <t>( 호표 34 ) 바닥카펫 해체  M2</t>
  </si>
  <si>
    <t>3.11</t>
  </si>
  <si>
    <t xml:space="preserve"> f  '환산계수' =1</t>
  </si>
  <si>
    <t>0000210400100000</t>
  </si>
  <si>
    <t>노임계수</t>
  </si>
  <si>
    <t>자재 61</t>
  </si>
  <si>
    <t>AQA800010020</t>
  </si>
  <si>
    <t>6</t>
  </si>
  <si>
    <t>0.12</t>
  </si>
  <si>
    <t>건설용거푸집액세서리</t>
  </si>
  <si>
    <t>TRUNC((1/0.45*1/0.45)*0.03*0.03*0.4*300*1.1, 4)</t>
  </si>
  <si>
    <t>'2.크레인(트럭탑재형)(10ton/hr)'</t>
  </si>
  <si>
    <t>( 호표 18 ) 기둥밑 무수축 고름모르타르 30T,250*250 개소</t>
  </si>
  <si>
    <t>3121159322073063</t>
  </si>
  <si>
    <t>3019150220140302</t>
  </si>
  <si>
    <t>호표 21</t>
  </si>
  <si>
    <t>AQ1000002000</t>
  </si>
  <si>
    <t>519</t>
  </si>
  <si>
    <t>산소가스, 기체(㎥)</t>
  </si>
  <si>
    <t>150*150*7*10</t>
  </si>
  <si>
    <t>.</t>
  </si>
  <si>
    <t>재료비의 20%</t>
  </si>
  <si>
    <t>AAD151101010</t>
  </si>
  <si>
    <t>조합페인트칠(뿜칠)</t>
  </si>
  <si>
    <t>AAA31000100S</t>
  </si>
  <si>
    <t>합계의 100%</t>
  </si>
  <si>
    <t>장</t>
  </si>
  <si>
    <t>혼합건설폐기물</t>
  </si>
  <si>
    <t>노임 11</t>
  </si>
  <si>
    <t>일위</t>
  </si>
  <si>
    <t>30T,300*300</t>
  </si>
  <si>
    <t>손료적용</t>
  </si>
  <si>
    <t>59</t>
  </si>
  <si>
    <t>호표 19</t>
  </si>
  <si>
    <t>조임철물, 직교 및 가세</t>
  </si>
  <si>
    <t>자재 65</t>
  </si>
  <si>
    <t>ZZB000100000</t>
  </si>
  <si>
    <t>1</t>
  </si>
  <si>
    <t>공통 2-4-3</t>
  </si>
  <si>
    <t>비계안정장치, 이음철물, 삽입걸이</t>
  </si>
  <si>
    <t>ITEMSEQNO</t>
  </si>
  <si>
    <t>대</t>
  </si>
  <si>
    <t>경비 2</t>
  </si>
  <si>
    <t>콘테이너형 가설건축물 설치 및 해체</t>
  </si>
  <si>
    <t>M2</t>
  </si>
  <si>
    <t>호표 37</t>
  </si>
  <si>
    <t>3120160520277611</t>
  </si>
  <si>
    <t>(재료비+직노+기계경비) * 0.3%</t>
  </si>
  <si>
    <t>번  호</t>
  </si>
  <si>
    <t>경비로 적용</t>
  </si>
  <si>
    <t>466</t>
  </si>
  <si>
    <t>비계안정장치</t>
  </si>
  <si>
    <t>각재</t>
  </si>
  <si>
    <t>AZZ</t>
  </si>
  <si>
    <t>301999952187B026</t>
  </si>
  <si>
    <t>단위</t>
  </si>
  <si>
    <t>57</t>
  </si>
  <si>
    <t>합      계</t>
  </si>
  <si>
    <t>AQA80000310S</t>
  </si>
  <si>
    <t>각재, 미송</t>
  </si>
  <si>
    <t>펜스</t>
  </si>
  <si>
    <t>소수점처리</t>
  </si>
  <si>
    <t>100×45@450, H=3.5M이하</t>
  </si>
  <si>
    <t>F40</t>
  </si>
  <si>
    <t>철재면, 2회. 1급</t>
  </si>
  <si>
    <t>가설울타리판 해체</t>
  </si>
  <si>
    <t>강관비계, 클램프 고정,자동</t>
  </si>
  <si>
    <t>L001010101000009</t>
  </si>
  <si>
    <t>( 호표 21 ) 조합페인트칠(뿜칠) 철재면, 2회. 1급 M2</t>
  </si>
  <si>
    <t>0.5</t>
  </si>
  <si>
    <t>12.95</t>
  </si>
  <si>
    <t>메탈스크류</t>
  </si>
  <si>
    <t>조사가격1</t>
  </si>
  <si>
    <t>660</t>
  </si>
  <si>
    <t>노무비 할증 계수</t>
  </si>
  <si>
    <t>0.0469</t>
  </si>
  <si>
    <t>호표 47</t>
  </si>
  <si>
    <t>010106  철거공사</t>
  </si>
  <si>
    <t>010105</t>
  </si>
  <si>
    <t xml:space="preserve"> N  '적재횟수'=q0/q1 =?</t>
  </si>
  <si>
    <t>철골 세우기 - 크레인(타이어) 20ton</t>
  </si>
  <si>
    <t xml:space="preserve"> t2 '왕복시간(분)' =((L2/V2)+(L3/V3))*60*2=? </t>
  </si>
  <si>
    <t>'노무비:' LA("00002105001000000") / {Q} =?EQ</t>
  </si>
  <si>
    <t>(AZZ+BZZ)*%%</t>
  </si>
  <si>
    <t>노임 3</t>
  </si>
  <si>
    <t>일반못</t>
  </si>
  <si>
    <t>AAA310540305</t>
  </si>
  <si>
    <t>AAA310640212</t>
  </si>
  <si>
    <t>( 호표 20 ) 녹막이페인트(뿜칠) 1회.2종 M2</t>
  </si>
  <si>
    <t>( 호표 48 ) 부직포 설치  M2</t>
  </si>
  <si>
    <t>건축 1-2-4</t>
  </si>
  <si>
    <t>( 호표 32 ) 패브릭흡음재 철거 벽 M2</t>
  </si>
  <si>
    <t>3023169920139659</t>
  </si>
  <si>
    <t>비계안정장치, 비계기본틀, 기둥, 1.2*1.7m</t>
  </si>
  <si>
    <t>석고판 해체</t>
  </si>
  <si>
    <t>ZZB600100000</t>
  </si>
  <si>
    <t xml:space="preserve"> Q   크레인상,하차작업량(ton/hr)  =(3600*q1*f*Es/Cms)= 40</t>
  </si>
  <si>
    <t>비계안정장치, 가새, 1.2*1.9m</t>
  </si>
  <si>
    <t>AQA900120740</t>
  </si>
  <si>
    <t>HY 200</t>
  </si>
  <si>
    <t>ZZA000100000</t>
  </si>
  <si>
    <t>( 호표 49 ) 비계주위 보호망 설치 및 해체 - 재료비 별도 - 10M2</t>
  </si>
  <si>
    <t>비계안정장치, 비계장선틀, 기둥, 1.0×1.9m</t>
  </si>
  <si>
    <t>자재 58</t>
  </si>
  <si>
    <t>설정</t>
  </si>
  <si>
    <t>호표 35</t>
  </si>
  <si>
    <t xml:space="preserve"> t2  왕복시간(분)  =((L2/V2)+(L3/V3))*60*2= 90.9 </t>
  </si>
  <si>
    <t>토목용부직포</t>
  </si>
  <si>
    <t>단  가</t>
  </si>
  <si>
    <t>AQA80000280S</t>
  </si>
  <si>
    <t>10 ton</t>
  </si>
  <si>
    <t>AAB215004460</t>
  </si>
  <si>
    <t>철강설</t>
  </si>
  <si>
    <t>호표 4</t>
  </si>
  <si>
    <t>이동식강관말비계</t>
  </si>
  <si>
    <t>A</t>
  </si>
  <si>
    <t>가설게이트 설치(폴딩도어)</t>
  </si>
  <si>
    <t>301999952187B061</t>
  </si>
  <si>
    <t>0.14</t>
  </si>
  <si>
    <t>( 호표 22 ) 케미컬앵커 HY 200 + HIT-C M16×190 EA</t>
  </si>
  <si>
    <t>공통 8-3,4(2702)</t>
  </si>
  <si>
    <t>A10+A20-A30</t>
  </si>
  <si>
    <t>( 호표 29 ) 벽체틀 철거 벽 M2</t>
  </si>
  <si>
    <t>AQA900150010</t>
  </si>
  <si>
    <t>88</t>
  </si>
  <si>
    <t>JUK10</t>
  </si>
  <si>
    <t>개</t>
  </si>
  <si>
    <t>( 호표 60 ) 트럭탑재형 크레인 10ton HR</t>
  </si>
  <si>
    <t>( 호표 28 ) 경량벽체철골틀 해체 해체재 재사용 안함 M2</t>
  </si>
  <si>
    <t>고장력 볼트 본조임</t>
  </si>
  <si>
    <t>3019150220140304</t>
  </si>
  <si>
    <t>CV0</t>
  </si>
  <si>
    <t>내역단가 소수점처리</t>
  </si>
  <si>
    <t>경비 4</t>
  </si>
  <si>
    <t>강관틀 비계 설치 및 해체</t>
  </si>
  <si>
    <t>호표 38</t>
  </si>
  <si>
    <t>( 호표 30 ) 석고판 해체 해체재 재사용 안함 M2</t>
  </si>
  <si>
    <t>PPS00000002</t>
  </si>
  <si>
    <t>공사구분</t>
  </si>
  <si>
    <t>재 료 비</t>
  </si>
  <si>
    <t>3100400000001248</t>
  </si>
  <si>
    <t>호표 34</t>
  </si>
  <si>
    <t>CB0</t>
  </si>
  <si>
    <t>R</t>
  </si>
  <si>
    <t>37</t>
  </si>
  <si>
    <t>시스템비계-받침철물(쟈키베이스)</t>
  </si>
  <si>
    <t>호표 63</t>
  </si>
  <si>
    <t>AD0201000403</t>
  </si>
  <si>
    <t>0.2㎥</t>
  </si>
  <si>
    <t>호표 42</t>
  </si>
  <si>
    <t xml:space="preserve"> L2  도로주행 운반거리(km)  =29.5</t>
  </si>
  <si>
    <t>자재 59</t>
  </si>
  <si>
    <t>ABC분말소화기 6.5KG</t>
  </si>
  <si>
    <t>품목구분</t>
  </si>
  <si>
    <t>10M2</t>
  </si>
  <si>
    <t>AAA310640521</t>
  </si>
  <si>
    <t>1회.2종</t>
  </si>
  <si>
    <t>자재 14</t>
  </si>
  <si>
    <t>( 호표 19 ) 기둥밑 무수축 고름모르타르 30T,300*300 개소</t>
  </si>
  <si>
    <t>자재 6</t>
  </si>
  <si>
    <t>폭 150mm이하</t>
  </si>
  <si>
    <t>.LA=LA(10) * 0.3</t>
  </si>
  <si>
    <t>301999952187B031</t>
  </si>
  <si>
    <t>METAL C-RUNNER</t>
  </si>
  <si>
    <t>품      목</t>
  </si>
  <si>
    <t>3116220900000041</t>
  </si>
  <si>
    <t>하33</t>
  </si>
  <si>
    <t>벽,띠장설치(미송)</t>
  </si>
  <si>
    <t>노임 5</t>
  </si>
  <si>
    <t>총   공   사    비</t>
  </si>
  <si>
    <t>시너, KSM6060, 2종</t>
  </si>
  <si>
    <t>공   급    가   액</t>
  </si>
  <si>
    <t>20120321</t>
  </si>
  <si>
    <t>P.E분진망</t>
  </si>
  <si>
    <t>강관비계 부속철물</t>
  </si>
  <si>
    <t>AEC11000070S</t>
  </si>
  <si>
    <t>0.2394*0.5</t>
  </si>
  <si>
    <t>자재 31</t>
  </si>
  <si>
    <t>301999952187B024</t>
  </si>
  <si>
    <t>강관 지주 해체</t>
  </si>
  <si>
    <t>적산/42</t>
  </si>
  <si>
    <t>철골L:30km</t>
  </si>
  <si>
    <t>0000270200200000</t>
  </si>
  <si>
    <t>깅관손료</t>
  </si>
  <si>
    <t>비계안정장치, 손잡이, 1829mm</t>
  </si>
  <si>
    <t>자재 8</t>
  </si>
  <si>
    <t>010107  운반비</t>
  </si>
  <si>
    <t>1190</t>
  </si>
  <si>
    <t>0.016</t>
  </si>
  <si>
    <t>0.04*0.5</t>
  </si>
  <si>
    <t>( 호표 23 ) 벽,띠장설치(미송) 30*30,@450*450 M2</t>
  </si>
  <si>
    <t>철물(앵커)손료</t>
  </si>
  <si>
    <t>강관비계, 비계파이프, 48.6×2.3mm</t>
  </si>
  <si>
    <t>호표 8</t>
  </si>
  <si>
    <t>ton</t>
  </si>
  <si>
    <t>ATA400100400  운반비(트레일러 20ton+크레인 10ton)  철골L:30km  톤  ( 산근 1 )</t>
  </si>
  <si>
    <t>JUK13</t>
  </si>
  <si>
    <t>노무비 * 1.01%</t>
  </si>
  <si>
    <t>( 호표 42 ) 강관 지주 해체 지주높이 3.5m 이하 10M</t>
  </si>
  <si>
    <t>813K010201000190</t>
  </si>
  <si>
    <t>물자148</t>
  </si>
  <si>
    <t>호표 59</t>
  </si>
  <si>
    <t>적용단가</t>
  </si>
  <si>
    <t>H=4.0, 3개월 이하</t>
  </si>
  <si>
    <t>호표 18</t>
  </si>
  <si>
    <t>메탈 스크류(Metal Screw)</t>
  </si>
  <si>
    <t xml:space="preserve"> 비계공 </t>
  </si>
  <si>
    <t>일</t>
  </si>
  <si>
    <t>호표 10</t>
  </si>
  <si>
    <t>노무비의 3%</t>
  </si>
  <si>
    <t>환율</t>
  </si>
  <si>
    <t>비계안정장치, 비계장선틀, 기둥, 1.0*1.9m</t>
  </si>
  <si>
    <t>자재 21</t>
  </si>
  <si>
    <t>( 호표 11 ) 현장정리 신호수 2인 일</t>
  </si>
  <si>
    <t xml:space="preserve"> Z  '차량실 작업량(ton/hr)' =(T2+T4)/CM*(1/Q)=?  </t>
  </si>
  <si>
    <t>톤</t>
  </si>
  <si>
    <t>0101  1차(철거,건축)</t>
  </si>
  <si>
    <t>CE0</t>
  </si>
  <si>
    <t>샌드위치패널</t>
  </si>
  <si>
    <t>금      액</t>
  </si>
  <si>
    <t>0000020100200000</t>
  </si>
  <si>
    <t>내역금액소수점처리</t>
  </si>
  <si>
    <t>H-BEAM</t>
  </si>
  <si>
    <t>0.0225</t>
  </si>
  <si>
    <t>철강설, 고철, 작업설부산물</t>
  </si>
  <si>
    <t>자재 10</t>
  </si>
  <si>
    <t>3.0×9.0×2.6m, 3개월</t>
  </si>
  <si>
    <t>M</t>
  </si>
  <si>
    <t>Q10</t>
  </si>
  <si>
    <t>AAB215004450</t>
  </si>
  <si>
    <t>3019160220140484</t>
  </si>
  <si>
    <t>비계안정장치, 수평띠장, 1829mm</t>
  </si>
  <si>
    <t>미확인 데이터</t>
  </si>
  <si>
    <t>합    계</t>
  </si>
  <si>
    <t>AOJ41000010S</t>
  </si>
  <si>
    <t>공구손료</t>
  </si>
  <si>
    <t>.MA=MA(20) * 0.39</t>
  </si>
  <si>
    <t>자재 60</t>
  </si>
  <si>
    <t>노무비의 1%</t>
  </si>
  <si>
    <t>HL-12(1200mm)</t>
  </si>
  <si>
    <t>자재 62</t>
  </si>
  <si>
    <t>원가비목코드</t>
  </si>
  <si>
    <t>0000210400500000</t>
  </si>
  <si>
    <t>90</t>
  </si>
  <si>
    <t>.MA=MA(10, 20) * 0.15</t>
  </si>
  <si>
    <t>자재 66</t>
  </si>
  <si>
    <t>단산</t>
  </si>
  <si>
    <t>자재 별도</t>
  </si>
  <si>
    <t>3121159722073048</t>
  </si>
  <si>
    <t>비    고</t>
  </si>
  <si>
    <t>경량천장철골틀 해체</t>
  </si>
  <si>
    <t>010108</t>
  </si>
  <si>
    <t>자재 70</t>
  </si>
  <si>
    <t>10ton</t>
  </si>
  <si>
    <t>3019160620140611</t>
  </si>
  <si>
    <t>3019160220140487</t>
  </si>
  <si>
    <t>크레인(타이어)</t>
  </si>
  <si>
    <t>( 호표 6 ) 시스템비계-(계단/난간) 2637mm,6개월(설치는비계에포함) 조</t>
  </si>
  <si>
    <t>호표 46</t>
  </si>
  <si>
    <t>C</t>
  </si>
  <si>
    <t>10M</t>
  </si>
  <si>
    <t>P20</t>
  </si>
  <si>
    <t>콘테이너형 가설건축물 설치</t>
  </si>
  <si>
    <t>호표 6</t>
  </si>
  <si>
    <t>kg</t>
  </si>
  <si>
    <t>가설울타리판 설치</t>
  </si>
  <si>
    <t>펜스고리, 너트 포함</t>
  </si>
  <si>
    <t>자재 46</t>
  </si>
  <si>
    <t>자재 74</t>
  </si>
  <si>
    <t>단 가 대 비 표</t>
  </si>
  <si>
    <t>L-18(1829MM)</t>
  </si>
  <si>
    <t>3116200220136259</t>
  </si>
  <si>
    <t>YZS001000000</t>
  </si>
  <si>
    <t>확정내역</t>
  </si>
  <si>
    <t>24</t>
  </si>
  <si>
    <t>ANS100122400</t>
  </si>
  <si>
    <t>자재 54</t>
  </si>
  <si>
    <t>2025.04.21</t>
  </si>
  <si>
    <t>호표 15</t>
  </si>
  <si>
    <t>AOJ415001101</t>
  </si>
  <si>
    <t>노임 12</t>
  </si>
  <si>
    <t>593</t>
  </si>
  <si>
    <t>유리난간철거</t>
  </si>
  <si>
    <t>경비 11</t>
  </si>
  <si>
    <t>'3.인력편성'</t>
  </si>
  <si>
    <t>( 호표 59 ) 크레인(타이어) 50ton HR</t>
  </si>
  <si>
    <t>코  드</t>
  </si>
  <si>
    <t>안전발판</t>
  </si>
  <si>
    <t>단섬유부직포(PP.Filter mat), 인장강도2.0t/m, 중량300g/㎡</t>
  </si>
  <si>
    <t>.EQ=TOT(20, 0, 40) * 1</t>
  </si>
  <si>
    <t>보통인부</t>
  </si>
  <si>
    <t>Z000000000000018</t>
  </si>
  <si>
    <t>자재 1</t>
  </si>
  <si>
    <t>AAA250400001</t>
  </si>
  <si>
    <t>0.006*1.5</t>
  </si>
  <si>
    <t>이              윤</t>
  </si>
  <si>
    <t>1326</t>
  </si>
  <si>
    <t>2.33</t>
  </si>
  <si>
    <t>E21002</t>
  </si>
  <si>
    <t>자재 33</t>
  </si>
  <si>
    <t>1422</t>
  </si>
  <si>
    <t>00002104001000000</t>
  </si>
  <si>
    <t>CA0</t>
  </si>
  <si>
    <t>AQA800106503</t>
  </si>
  <si>
    <t>호표 44</t>
  </si>
  <si>
    <t xml:space="preserve"> q0  트레일러적재량(ton)  =20</t>
  </si>
  <si>
    <t>CB0*%%</t>
  </si>
  <si>
    <t>ROUNDDOWN(1/3.6*4*0.12, 4)</t>
  </si>
  <si>
    <t>0.1</t>
  </si>
  <si>
    <t>노무비의 30%</t>
  </si>
  <si>
    <t>자재구분</t>
  </si>
  <si>
    <t>010103</t>
  </si>
  <si>
    <t>010101</t>
  </si>
  <si>
    <t>공 종 별 집 계 표</t>
  </si>
  <si>
    <t xml:space="preserve"> 재료비:  17202 / 40 = 430.05</t>
  </si>
  <si>
    <t>'운반거리 : 공장L1=0.0km, 시내L2=29.5km, 공사장L3=0.5km'</t>
  </si>
  <si>
    <t xml:space="preserve"> E   작업효율  =0.9</t>
  </si>
  <si>
    <t>2637mm,6개월(설치는비계에포함)</t>
  </si>
  <si>
    <t>건설기계운전사</t>
  </si>
  <si>
    <t>자재 9</t>
  </si>
  <si>
    <t>STUD-SPACER</t>
  </si>
  <si>
    <t>0</t>
  </si>
  <si>
    <t>비        목</t>
  </si>
  <si>
    <t>4.6</t>
  </si>
  <si>
    <t>(BZZ+CZZ+E10)*%%</t>
  </si>
  <si>
    <t>B-1918(2484mm)</t>
  </si>
  <si>
    <t>AQA800106501</t>
  </si>
  <si>
    <t>컨테이너형 가설건축물 - 사무실</t>
  </si>
  <si>
    <t>T=9</t>
  </si>
  <si>
    <t>금  액</t>
  </si>
  <si>
    <t>공사기간 1개월이상 건설공사</t>
  </si>
  <si>
    <t>산  재  보  험  료</t>
  </si>
  <si>
    <t>010105  설비공사</t>
  </si>
  <si>
    <t>건설폐기물 운반비 - 중량기준</t>
  </si>
  <si>
    <t>이음철물, 연결핀</t>
  </si>
  <si>
    <t>노무비</t>
  </si>
  <si>
    <t>E10</t>
  </si>
  <si>
    <t>B</t>
  </si>
  <si>
    <t>5억미만, 일반건설공사(갑)</t>
  </si>
  <si>
    <t>3019160220140482</t>
  </si>
  <si>
    <t>자재 47</t>
  </si>
  <si>
    <t>JUK3</t>
  </si>
  <si>
    <t>#8, Ø4.2×13mm</t>
  </si>
  <si>
    <t>호표 25</t>
  </si>
  <si>
    <t>자재 41</t>
  </si>
  <si>
    <t>호표 41</t>
  </si>
  <si>
    <t>불연성 건설폐기물에 가연성 5% 이하 혼합</t>
  </si>
  <si>
    <t>E10021</t>
  </si>
  <si>
    <t>재</t>
  </si>
  <si>
    <t>자재 25</t>
  </si>
  <si>
    <t>견적</t>
  </si>
  <si>
    <t>자재 12</t>
  </si>
  <si>
    <t>TON</t>
  </si>
  <si>
    <t>4.5</t>
  </si>
  <si>
    <t>도장 후 퍼티 및 연마</t>
  </si>
  <si>
    <t>L001010101000003</t>
  </si>
  <si>
    <t>자재 37</t>
  </si>
  <si>
    <t>( 호표 54 ) 경량벽체철골틀 설치 폭 150mm이하 M2</t>
  </si>
  <si>
    <t>조립식 가설울타리 부재</t>
  </si>
  <si>
    <t>노무비의 5%</t>
  </si>
  <si>
    <t>0.3</t>
  </si>
  <si>
    <t>0.01</t>
  </si>
  <si>
    <t>XXXX-XXXX-XXXX-XXXX</t>
  </si>
  <si>
    <t>절삭</t>
    <phoneticPr fontId="8" type="noConversion"/>
  </si>
  <si>
    <t>계 * 8%</t>
    <phoneticPr fontId="8" type="noConversion"/>
  </si>
  <si>
    <t>(노무비+경비+일반관리비) * 10%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</si>
</sst>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;\-#,###;#"/>
    <numFmt numFmtId="177" formatCode="#,##0.00;\-#,##0.00;#"/>
    <numFmt numFmtId="178" formatCode="#,##0.0;\-#,##0.0;#"/>
    <numFmt numFmtId="179" formatCode="#,###;\-#,###;#;"/>
    <numFmt numFmtId="180" formatCode="#,##0.00#;\-#,##0.00#;#"/>
    <numFmt numFmtId="181" formatCode="#,###"/>
  </numFmts>
  <fonts count="10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u/>
      <sz val="11"/>
      <color theme="10"/>
      <name val="맑은 고딕"/>
      <family val="3"/>
    </font>
    <font>
      <sz val="11"/>
      <color theme="1"/>
      <name val="맑은 고딕"/>
      <family val="3"/>
    </font>
    <font>
      <b/>
      <sz val="11"/>
      <color theme="1"/>
      <name val="맑은 고딕"/>
      <family val="2"/>
      <scheme val="minor"/>
    </font>
    <font>
      <sz val="11"/>
      <color theme="1"/>
      <name val="돋움체"/>
      <family val="3"/>
    </font>
    <font>
      <b/>
      <sz val="11"/>
      <color theme="1"/>
      <name val="맑은 고딕"/>
      <family val="3"/>
    </font>
    <font>
      <b/>
      <u/>
      <sz val="16"/>
      <color theme="1"/>
      <name val="돋움체"/>
      <family val="3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>
      <alignment vertical="center"/>
    </xf>
  </cellStyleXfs>
  <cellXfs count="51">
    <xf numFmtId="0" fontId="0" fillId="0" borderId="0" xfId="0"/>
    <xf numFmtId="0" fontId="2" fillId="0" borderId="1" xfId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wrapText="1" shrinkToFit="1"/>
    </xf>
    <xf numFmtId="0" fontId="2" fillId="0" borderId="7" xfId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179" fontId="3" fillId="0" borderId="1" xfId="0" applyNumberFormat="1" applyFont="1" applyBorder="1" applyAlignment="1">
      <alignment horizontal="left" vertical="center" shrinkToFit="1"/>
    </xf>
    <xf numFmtId="181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 shrinkToFit="1"/>
    </xf>
    <xf numFmtId="180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right" vertical="center" shrinkToFit="1"/>
    </xf>
    <xf numFmtId="179" fontId="3" fillId="0" borderId="1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9" xfId="0" applyNumberForma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3">
    <cellStyle name="표준" xfId="0" builtinId="0"/>
    <cellStyle name="표준 2 2" xfId="2" xr:uid="{E5529E00-C409-4138-8974-EEAF3575EA88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36"/>
  <sheetViews>
    <sheetView tabSelected="1" view="pageBreakPreview" topLeftCell="B1" zoomScale="85" zoomScaleNormal="100" zoomScaleSheetLayoutView="85" workbookViewId="0">
      <selection activeCell="D20" sqref="D20"/>
    </sheetView>
  </sheetViews>
  <sheetFormatPr defaultColWidth="9.125" defaultRowHeight="18" customHeight="1" x14ac:dyDescent="0.3"/>
  <cols>
    <col min="1" max="1" width="9.125" hidden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8" max="15" width="9.125" hidden="1"/>
  </cols>
  <sheetData>
    <row r="1" spans="1:15" ht="30" customHeight="1" x14ac:dyDescent="0.3">
      <c r="A1" s="32" t="s">
        <v>97</v>
      </c>
      <c r="B1" s="32"/>
      <c r="C1" s="32"/>
      <c r="D1" s="32"/>
      <c r="E1" s="32"/>
      <c r="F1" s="32"/>
      <c r="G1" s="32"/>
    </row>
    <row r="2" spans="1:15" ht="18" customHeight="1" x14ac:dyDescent="0.3">
      <c r="A2" s="33" t="s">
        <v>612</v>
      </c>
      <c r="B2" s="33"/>
      <c r="C2" s="33"/>
      <c r="D2" s="33"/>
      <c r="E2" s="33"/>
      <c r="F2" s="43" t="str">
        <f>"금액: 일금  "&amp;NUMBERSTRING(E36,1)&amp;"원정("&amp;TEXT(E36,"#,###원")&amp;")"</f>
        <v>금액: 일금  이억팔천칠백일십일만삼천이백원정(287,113,200원)</v>
      </c>
      <c r="G2" s="43"/>
    </row>
    <row r="3" spans="1:15" ht="18" customHeight="1" x14ac:dyDescent="0.3">
      <c r="A3" s="8" t="s">
        <v>823</v>
      </c>
      <c r="B3" s="34" t="s">
        <v>1282</v>
      </c>
      <c r="C3" s="35"/>
      <c r="D3" s="36"/>
      <c r="E3" s="8" t="s">
        <v>1179</v>
      </c>
      <c r="F3" s="8" t="s">
        <v>34</v>
      </c>
      <c r="G3" s="8" t="s">
        <v>378</v>
      </c>
      <c r="H3" s="8" t="s">
        <v>1075</v>
      </c>
      <c r="I3" s="8" t="s">
        <v>881</v>
      </c>
    </row>
    <row r="4" spans="1:15" ht="18" customHeight="1" x14ac:dyDescent="0.3">
      <c r="A4" s="5" t="s">
        <v>345</v>
      </c>
      <c r="B4" s="37" t="s">
        <v>848</v>
      </c>
      <c r="C4" s="37" t="s">
        <v>743</v>
      </c>
      <c r="D4" s="9" t="s">
        <v>753</v>
      </c>
      <c r="E4" s="23">
        <f>TRUNC(공종별집계표!F5, 0)</f>
        <v>25310515</v>
      </c>
      <c r="F4" s="5"/>
      <c r="G4" s="5"/>
      <c r="H4" s="10">
        <v>100</v>
      </c>
      <c r="I4" s="5" t="s">
        <v>753</v>
      </c>
      <c r="J4" s="5" t="s">
        <v>1281</v>
      </c>
      <c r="K4" s="5" t="s">
        <v>101</v>
      </c>
      <c r="L4" s="10">
        <v>25310515</v>
      </c>
      <c r="M4" s="5" t="s">
        <v>1281</v>
      </c>
      <c r="N4" s="5" t="s">
        <v>1132</v>
      </c>
      <c r="O4" s="5" t="s">
        <v>168</v>
      </c>
    </row>
    <row r="5" spans="1:15" ht="18" customHeight="1" x14ac:dyDescent="0.3">
      <c r="A5" s="5" t="s">
        <v>685</v>
      </c>
      <c r="B5" s="38"/>
      <c r="C5" s="38"/>
      <c r="D5" s="9" t="s">
        <v>924</v>
      </c>
      <c r="E5" s="23">
        <f>TRUNC(, 0)</f>
        <v>0</v>
      </c>
      <c r="F5" s="5"/>
      <c r="G5" s="5"/>
      <c r="H5" s="10">
        <v>110</v>
      </c>
      <c r="I5" s="5" t="s">
        <v>924</v>
      </c>
      <c r="J5" s="5" t="s">
        <v>1281</v>
      </c>
      <c r="K5" s="5" t="s">
        <v>823</v>
      </c>
      <c r="L5" s="10">
        <v>0</v>
      </c>
      <c r="M5" s="5" t="s">
        <v>1281</v>
      </c>
      <c r="N5" s="5"/>
      <c r="O5" s="5" t="s">
        <v>636</v>
      </c>
    </row>
    <row r="6" spans="1:15" ht="18" customHeight="1" x14ac:dyDescent="0.3">
      <c r="A6" s="5" t="s">
        <v>41</v>
      </c>
      <c r="B6" s="38"/>
      <c r="C6" s="38"/>
      <c r="D6" s="9" t="s">
        <v>342</v>
      </c>
      <c r="E6" s="23">
        <f>TRUNC(, 0)</f>
        <v>0</v>
      </c>
      <c r="F6" s="5"/>
      <c r="G6" s="5"/>
      <c r="H6" s="10">
        <v>120</v>
      </c>
      <c r="I6" s="5" t="s">
        <v>342</v>
      </c>
      <c r="J6" s="5" t="s">
        <v>1281</v>
      </c>
      <c r="K6" s="5" t="s">
        <v>823</v>
      </c>
      <c r="L6" s="10">
        <v>0</v>
      </c>
      <c r="M6" s="5" t="s">
        <v>1281</v>
      </c>
      <c r="N6" s="5"/>
      <c r="O6" s="5" t="s">
        <v>662</v>
      </c>
    </row>
    <row r="7" spans="1:15" ht="18" customHeight="1" x14ac:dyDescent="0.3">
      <c r="A7" s="5" t="s">
        <v>1013</v>
      </c>
      <c r="B7" s="38"/>
      <c r="C7" s="39"/>
      <c r="D7" s="9" t="s">
        <v>490</v>
      </c>
      <c r="E7" s="23">
        <f>TRUNC(E4+E5-E6, 0)</f>
        <v>25310515</v>
      </c>
      <c r="F7" s="5"/>
      <c r="G7" s="5"/>
      <c r="H7" s="10">
        <v>190</v>
      </c>
      <c r="I7" s="5" t="s">
        <v>490</v>
      </c>
      <c r="J7" s="5" t="s">
        <v>1281</v>
      </c>
      <c r="K7" s="5" t="s">
        <v>1081</v>
      </c>
      <c r="L7" s="10">
        <v>25310515</v>
      </c>
      <c r="M7" s="5" t="s">
        <v>1281</v>
      </c>
      <c r="N7" s="5"/>
      <c r="O7" s="5" t="s">
        <v>1232</v>
      </c>
    </row>
    <row r="8" spans="1:15" ht="18" customHeight="1" x14ac:dyDescent="0.3">
      <c r="A8" s="5" t="s">
        <v>922</v>
      </c>
      <c r="B8" s="38"/>
      <c r="C8" s="37" t="s">
        <v>186</v>
      </c>
      <c r="D8" s="9" t="s">
        <v>279</v>
      </c>
      <c r="E8" s="23">
        <f>TRUNC(공종별집계표!H5, 0)</f>
        <v>52917562</v>
      </c>
      <c r="F8" s="5"/>
      <c r="G8" s="5"/>
      <c r="H8" s="10">
        <v>200</v>
      </c>
      <c r="I8" s="5" t="s">
        <v>279</v>
      </c>
      <c r="J8" s="5" t="s">
        <v>1281</v>
      </c>
      <c r="K8" s="5" t="s">
        <v>139</v>
      </c>
      <c r="L8" s="10">
        <v>52917562</v>
      </c>
      <c r="M8" s="5" t="s">
        <v>1281</v>
      </c>
      <c r="N8" s="5"/>
      <c r="O8" s="5" t="s">
        <v>1060</v>
      </c>
    </row>
    <row r="9" spans="1:15" ht="18" customHeight="1" x14ac:dyDescent="0.3">
      <c r="A9" s="5" t="s">
        <v>383</v>
      </c>
      <c r="B9" s="38"/>
      <c r="C9" s="38"/>
      <c r="D9" s="9" t="s">
        <v>405</v>
      </c>
      <c r="E9" s="23">
        <f>TRUNC(E8*0.15, 0)</f>
        <v>7937634</v>
      </c>
      <c r="F9" s="5" t="s">
        <v>746</v>
      </c>
      <c r="G9" s="5"/>
      <c r="H9" s="10">
        <v>210</v>
      </c>
      <c r="I9" s="5" t="s">
        <v>405</v>
      </c>
      <c r="J9" s="5" t="s">
        <v>7</v>
      </c>
      <c r="K9" s="5" t="s">
        <v>96</v>
      </c>
      <c r="L9" s="10">
        <v>7937634</v>
      </c>
      <c r="M9" s="5" t="s">
        <v>1281</v>
      </c>
      <c r="N9" s="5"/>
      <c r="O9" s="5" t="s">
        <v>245</v>
      </c>
    </row>
    <row r="10" spans="1:15" ht="18" customHeight="1" x14ac:dyDescent="0.3">
      <c r="A10" s="5" t="s">
        <v>295</v>
      </c>
      <c r="B10" s="38"/>
      <c r="C10" s="39"/>
      <c r="D10" s="9" t="s">
        <v>490</v>
      </c>
      <c r="E10" s="23">
        <f>TRUNC(E8+E9, 0)</f>
        <v>60855196</v>
      </c>
      <c r="F10" s="5"/>
      <c r="G10" s="5"/>
      <c r="H10" s="10">
        <v>290</v>
      </c>
      <c r="I10" s="5" t="s">
        <v>490</v>
      </c>
      <c r="J10" s="5" t="s">
        <v>1281</v>
      </c>
      <c r="K10" s="5" t="s">
        <v>627</v>
      </c>
      <c r="L10" s="10">
        <v>60855196</v>
      </c>
      <c r="M10" s="5" t="s">
        <v>1281</v>
      </c>
      <c r="N10" s="5"/>
      <c r="O10" s="5" t="s">
        <v>808</v>
      </c>
    </row>
    <row r="11" spans="1:15" ht="18" customHeight="1" x14ac:dyDescent="0.3">
      <c r="A11" s="5" t="s">
        <v>124</v>
      </c>
      <c r="B11" s="38"/>
      <c r="C11" s="37" t="s">
        <v>797</v>
      </c>
      <c r="D11" s="9" t="s">
        <v>184</v>
      </c>
      <c r="E11" s="23">
        <f>TRUNC(공종별집계표!J5, 0)</f>
        <v>4939227</v>
      </c>
      <c r="F11" s="5"/>
      <c r="G11" s="5"/>
      <c r="H11" s="10">
        <v>3100</v>
      </c>
      <c r="I11" s="5" t="s">
        <v>184</v>
      </c>
      <c r="J11" s="5" t="s">
        <v>1281</v>
      </c>
      <c r="K11" s="5" t="s">
        <v>559</v>
      </c>
      <c r="L11" s="10">
        <v>4939227</v>
      </c>
      <c r="M11" s="5" t="s">
        <v>1281</v>
      </c>
      <c r="N11" s="5"/>
      <c r="O11" s="5" t="s">
        <v>996</v>
      </c>
    </row>
    <row r="12" spans="1:15" ht="18" customHeight="1" x14ac:dyDescent="0.3">
      <c r="A12" s="5" t="s">
        <v>536</v>
      </c>
      <c r="B12" s="38"/>
      <c r="C12" s="38"/>
      <c r="D12" s="9" t="s">
        <v>1291</v>
      </c>
      <c r="E12" s="23">
        <f>TRUNC(E10*0.0356, 0)</f>
        <v>2166444</v>
      </c>
      <c r="F12" s="5" t="s">
        <v>390</v>
      </c>
      <c r="G12" s="5" t="s">
        <v>711</v>
      </c>
      <c r="H12" s="10">
        <v>3300</v>
      </c>
      <c r="I12" s="5" t="s">
        <v>1291</v>
      </c>
      <c r="J12" s="5" t="s">
        <v>249</v>
      </c>
      <c r="K12" s="5" t="s">
        <v>73</v>
      </c>
      <c r="L12" s="10">
        <v>2166444</v>
      </c>
      <c r="M12" s="5" t="s">
        <v>1281</v>
      </c>
      <c r="N12" s="5"/>
      <c r="O12" s="5" t="s">
        <v>191</v>
      </c>
    </row>
    <row r="13" spans="1:15" ht="18" customHeight="1" x14ac:dyDescent="0.3">
      <c r="A13" s="5" t="s">
        <v>1262</v>
      </c>
      <c r="B13" s="38"/>
      <c r="C13" s="38"/>
      <c r="D13" s="9" t="s">
        <v>287</v>
      </c>
      <c r="E13" s="23">
        <f>TRUNC(E10*0.0101, 0)</f>
        <v>614637</v>
      </c>
      <c r="F13" s="5" t="s">
        <v>1157</v>
      </c>
      <c r="G13" s="5" t="s">
        <v>234</v>
      </c>
      <c r="H13" s="10">
        <v>3400</v>
      </c>
      <c r="I13" s="5" t="s">
        <v>287</v>
      </c>
      <c r="J13" s="5" t="s">
        <v>35</v>
      </c>
      <c r="K13" s="5" t="s">
        <v>73</v>
      </c>
      <c r="L13" s="10">
        <v>614637</v>
      </c>
      <c r="M13" s="5" t="s">
        <v>1281</v>
      </c>
      <c r="N13" s="5"/>
      <c r="O13" s="5" t="s">
        <v>113</v>
      </c>
    </row>
    <row r="14" spans="1:15" ht="18" customHeight="1" x14ac:dyDescent="0.3">
      <c r="A14" s="5" t="s">
        <v>1102</v>
      </c>
      <c r="B14" s="38"/>
      <c r="C14" s="38"/>
      <c r="D14" s="9" t="s">
        <v>903</v>
      </c>
      <c r="E14" s="23">
        <f>TRUNC(E8*0.03545, 0)</f>
        <v>1875927</v>
      </c>
      <c r="F14" s="5" t="s">
        <v>264</v>
      </c>
      <c r="G14" s="5" t="s">
        <v>1290</v>
      </c>
      <c r="H14" s="10">
        <v>3500</v>
      </c>
      <c r="I14" s="5" t="s">
        <v>903</v>
      </c>
      <c r="J14" s="5" t="s">
        <v>561</v>
      </c>
      <c r="K14" s="5" t="s">
        <v>96</v>
      </c>
      <c r="L14" s="10">
        <v>1875927</v>
      </c>
      <c r="M14" s="5" t="s">
        <v>1281</v>
      </c>
      <c r="N14" s="5"/>
      <c r="O14" s="5" t="s">
        <v>276</v>
      </c>
    </row>
    <row r="15" spans="1:15" ht="18" customHeight="1" x14ac:dyDescent="0.3">
      <c r="A15" s="5" t="s">
        <v>357</v>
      </c>
      <c r="B15" s="38"/>
      <c r="C15" s="38"/>
      <c r="D15" s="9" t="s">
        <v>356</v>
      </c>
      <c r="E15" s="23">
        <f>TRUNC(E8*0.045, 0)</f>
        <v>2381290</v>
      </c>
      <c r="F15" s="5" t="s">
        <v>776</v>
      </c>
      <c r="G15" s="5" t="s">
        <v>1290</v>
      </c>
      <c r="H15" s="10">
        <v>3600</v>
      </c>
      <c r="I15" s="5" t="s">
        <v>356</v>
      </c>
      <c r="J15" s="5" t="s">
        <v>1313</v>
      </c>
      <c r="K15" s="5" t="s">
        <v>96</v>
      </c>
      <c r="L15" s="10">
        <v>2381290</v>
      </c>
      <c r="M15" s="5" t="s">
        <v>1281</v>
      </c>
      <c r="N15" s="5"/>
      <c r="O15" s="5" t="s">
        <v>400</v>
      </c>
    </row>
    <row r="16" spans="1:15" ht="18" customHeight="1" x14ac:dyDescent="0.3">
      <c r="A16" s="5" t="s">
        <v>651</v>
      </c>
      <c r="B16" s="38"/>
      <c r="C16" s="38"/>
      <c r="D16" s="9" t="s">
        <v>583</v>
      </c>
      <c r="E16" s="23">
        <f>TRUNC(E14*0.1295, 0)</f>
        <v>242932</v>
      </c>
      <c r="F16" s="5" t="s">
        <v>110</v>
      </c>
      <c r="G16" s="5" t="s">
        <v>1290</v>
      </c>
      <c r="H16" s="10">
        <v>3750</v>
      </c>
      <c r="I16" s="5" t="s">
        <v>583</v>
      </c>
      <c r="J16" s="5" t="s">
        <v>1030</v>
      </c>
      <c r="K16" s="5" t="s">
        <v>1266</v>
      </c>
      <c r="L16" s="10">
        <v>242932</v>
      </c>
      <c r="M16" s="5" t="s">
        <v>1281</v>
      </c>
      <c r="N16" s="5"/>
      <c r="O16" s="5" t="s">
        <v>128</v>
      </c>
    </row>
    <row r="17" spans="1:15" ht="18" customHeight="1" x14ac:dyDescent="0.3">
      <c r="A17" s="5" t="s">
        <v>1177</v>
      </c>
      <c r="B17" s="38"/>
      <c r="C17" s="38"/>
      <c r="D17" s="9" t="s">
        <v>801</v>
      </c>
      <c r="E17" s="23">
        <f>TRUNC(E8*0.023, 0)</f>
        <v>1217103</v>
      </c>
      <c r="F17" s="5" t="s">
        <v>64</v>
      </c>
      <c r="G17" s="5" t="s">
        <v>734</v>
      </c>
      <c r="H17" s="10">
        <v>3775</v>
      </c>
      <c r="I17" s="5" t="s">
        <v>801</v>
      </c>
      <c r="J17" s="5" t="s">
        <v>543</v>
      </c>
      <c r="K17" s="5" t="s">
        <v>96</v>
      </c>
      <c r="L17" s="10">
        <v>1217103</v>
      </c>
      <c r="M17" s="5" t="s">
        <v>1281</v>
      </c>
      <c r="N17" s="5"/>
      <c r="O17" s="5" t="s">
        <v>182</v>
      </c>
    </row>
    <row r="18" spans="1:15" ht="18" customHeight="1" x14ac:dyDescent="0.3">
      <c r="A18" s="5" t="s">
        <v>805</v>
      </c>
      <c r="B18" s="38"/>
      <c r="C18" s="38"/>
      <c r="D18" s="9" t="s">
        <v>183</v>
      </c>
      <c r="E18" s="23">
        <f>TRUNC((E7+E8+E34/1.1)*0.0311, 0)</f>
        <v>2432893</v>
      </c>
      <c r="F18" s="5" t="s">
        <v>373</v>
      </c>
      <c r="G18" s="5" t="s">
        <v>1298</v>
      </c>
      <c r="H18" s="10">
        <v>3900</v>
      </c>
      <c r="I18" s="5" t="s">
        <v>183</v>
      </c>
      <c r="J18" s="5" t="s">
        <v>961</v>
      </c>
      <c r="K18" s="5" t="s">
        <v>47</v>
      </c>
      <c r="L18" s="10">
        <v>2432893</v>
      </c>
      <c r="M18" s="5" t="s">
        <v>1281</v>
      </c>
      <c r="N18" s="5"/>
      <c r="O18" s="5" t="s">
        <v>866</v>
      </c>
    </row>
    <row r="19" spans="1:15" ht="18" customHeight="1" x14ac:dyDescent="0.3">
      <c r="A19" s="5" t="s">
        <v>428</v>
      </c>
      <c r="B19" s="38"/>
      <c r="C19" s="38"/>
      <c r="D19" s="9" t="s">
        <v>637</v>
      </c>
      <c r="E19" s="23">
        <f>TRUNC((E7+E8+E11)*0.003, 0)</f>
        <v>249501</v>
      </c>
      <c r="F19" s="5" t="s">
        <v>1007</v>
      </c>
      <c r="G19" s="5"/>
      <c r="H19" s="10">
        <v>4600</v>
      </c>
      <c r="I19" s="5" t="s">
        <v>637</v>
      </c>
      <c r="J19" s="5" t="s">
        <v>1320</v>
      </c>
      <c r="K19" s="5" t="s">
        <v>250</v>
      </c>
      <c r="L19" s="10">
        <v>249501</v>
      </c>
      <c r="M19" s="5" t="s">
        <v>1281</v>
      </c>
      <c r="N19" s="5"/>
      <c r="O19" s="5" t="s">
        <v>949</v>
      </c>
    </row>
    <row r="20" spans="1:15" ht="18" customHeight="1" x14ac:dyDescent="0.3">
      <c r="A20" s="5" t="s">
        <v>657</v>
      </c>
      <c r="B20" s="38"/>
      <c r="C20" s="38"/>
      <c r="D20" s="9" t="s">
        <v>914</v>
      </c>
      <c r="E20" s="23">
        <f>TRUNC((E7+E10)*0.046, 0)</f>
        <v>3963622</v>
      </c>
      <c r="F20" s="5" t="s">
        <v>511</v>
      </c>
      <c r="G20" s="5"/>
      <c r="H20" s="10">
        <v>4700</v>
      </c>
      <c r="I20" s="5" t="s">
        <v>914</v>
      </c>
      <c r="J20" s="5" t="s">
        <v>1283</v>
      </c>
      <c r="K20" s="5" t="s">
        <v>1043</v>
      </c>
      <c r="L20" s="10">
        <v>3963622</v>
      </c>
      <c r="M20" s="5" t="s">
        <v>1281</v>
      </c>
      <c r="N20" s="5"/>
      <c r="O20" s="5" t="s">
        <v>416</v>
      </c>
    </row>
    <row r="21" spans="1:15" ht="18" customHeight="1" x14ac:dyDescent="0.3">
      <c r="A21" s="5" t="s">
        <v>1091</v>
      </c>
      <c r="B21" s="38"/>
      <c r="C21" s="38"/>
      <c r="D21" s="9" t="s">
        <v>217</v>
      </c>
      <c r="E21" s="23">
        <f>TRUNC((E7+E8+E11)*0.00081, 0)</f>
        <v>67365</v>
      </c>
      <c r="F21" s="5" t="s">
        <v>731</v>
      </c>
      <c r="G21" s="5"/>
      <c r="H21" s="10">
        <v>7310</v>
      </c>
      <c r="I21" s="5" t="s">
        <v>217</v>
      </c>
      <c r="J21" s="5" t="s">
        <v>854</v>
      </c>
      <c r="K21" s="5" t="s">
        <v>250</v>
      </c>
      <c r="L21" s="10">
        <v>67365</v>
      </c>
      <c r="M21" s="5" t="s">
        <v>1281</v>
      </c>
      <c r="N21" s="5"/>
      <c r="O21" s="5" t="s">
        <v>1055</v>
      </c>
    </row>
    <row r="22" spans="1:15" ht="18" customHeight="1" x14ac:dyDescent="0.3">
      <c r="A22" s="5" t="s">
        <v>506</v>
      </c>
      <c r="B22" s="38"/>
      <c r="C22" s="38"/>
      <c r="D22" s="9" t="s">
        <v>241</v>
      </c>
      <c r="E22" s="23">
        <f>TRUNC((E7+E8+E11)*0.0032, 0)</f>
        <v>266135</v>
      </c>
      <c r="F22" s="5" t="s">
        <v>727</v>
      </c>
      <c r="G22" s="5"/>
      <c r="H22" s="10">
        <v>7410</v>
      </c>
      <c r="I22" s="5" t="s">
        <v>241</v>
      </c>
      <c r="J22" s="5" t="s">
        <v>427</v>
      </c>
      <c r="K22" s="5" t="s">
        <v>250</v>
      </c>
      <c r="L22" s="10">
        <v>266135</v>
      </c>
      <c r="M22" s="5" t="s">
        <v>1281</v>
      </c>
      <c r="N22" s="5"/>
      <c r="O22" s="5" t="s">
        <v>292</v>
      </c>
    </row>
    <row r="23" spans="1:15" ht="18" customHeight="1" x14ac:dyDescent="0.3">
      <c r="A23" s="5" t="s">
        <v>792</v>
      </c>
      <c r="B23" s="39"/>
      <c r="C23" s="39"/>
      <c r="D23" s="9" t="s">
        <v>490</v>
      </c>
      <c r="E23" s="23">
        <f>TRUNC(0+E11+0+E12+E13+E14+E15+E17+0+E18+E16+0+0+E19+E20+0+E21+E22, 0)</f>
        <v>20417076</v>
      </c>
      <c r="F23" s="5"/>
      <c r="G23" s="5"/>
      <c r="H23" s="10">
        <v>9910</v>
      </c>
      <c r="I23" s="5" t="s">
        <v>490</v>
      </c>
      <c r="J23" s="5" t="s">
        <v>1281</v>
      </c>
      <c r="K23" s="5" t="s">
        <v>453</v>
      </c>
      <c r="L23" s="10">
        <v>20417076</v>
      </c>
      <c r="M23" s="5" t="s">
        <v>1281</v>
      </c>
      <c r="N23" s="5"/>
      <c r="O23" s="5" t="s">
        <v>232</v>
      </c>
    </row>
    <row r="24" spans="1:15" ht="18" customHeight="1" x14ac:dyDescent="0.3">
      <c r="A24" s="5" t="s">
        <v>744</v>
      </c>
      <c r="B24" s="40" t="s">
        <v>525</v>
      </c>
      <c r="C24" s="41"/>
      <c r="D24" s="42"/>
      <c r="E24" s="23">
        <f>TRUNC(E7+E10+E23, 0)</f>
        <v>106582787</v>
      </c>
      <c r="F24" s="5"/>
      <c r="G24" s="5"/>
      <c r="H24" s="10">
        <v>900710</v>
      </c>
      <c r="I24" s="5" t="s">
        <v>525</v>
      </c>
      <c r="J24" s="5" t="s">
        <v>1281</v>
      </c>
      <c r="K24" s="5" t="s">
        <v>126</v>
      </c>
      <c r="L24" s="10">
        <v>106582787</v>
      </c>
      <c r="M24" s="5" t="s">
        <v>1281</v>
      </c>
      <c r="N24" s="5"/>
      <c r="O24" s="5" t="s">
        <v>523</v>
      </c>
    </row>
    <row r="25" spans="1:15" ht="18" customHeight="1" x14ac:dyDescent="0.3">
      <c r="A25" s="5" t="s">
        <v>1296</v>
      </c>
      <c r="B25" s="40" t="s">
        <v>286</v>
      </c>
      <c r="C25" s="41"/>
      <c r="D25" s="42"/>
      <c r="E25" s="23">
        <f>TRUNC(E24*0.08, 0)</f>
        <v>8526622</v>
      </c>
      <c r="F25" s="5" t="s">
        <v>1324</v>
      </c>
      <c r="G25" s="5"/>
      <c r="H25" s="10">
        <v>900810</v>
      </c>
      <c r="I25" s="5" t="s">
        <v>286</v>
      </c>
      <c r="J25" s="5" t="s">
        <v>881</v>
      </c>
      <c r="K25" s="5" t="s">
        <v>125</v>
      </c>
      <c r="L25" s="10">
        <v>8526622</v>
      </c>
      <c r="M25" s="5" t="s">
        <v>1281</v>
      </c>
      <c r="N25" s="5"/>
      <c r="O25" s="5" t="s">
        <v>521</v>
      </c>
    </row>
    <row r="26" spans="1:15" ht="18" customHeight="1" x14ac:dyDescent="0.3">
      <c r="A26" s="5" t="s">
        <v>322</v>
      </c>
      <c r="B26" s="40" t="s">
        <v>1255</v>
      </c>
      <c r="C26" s="41"/>
      <c r="D26" s="42"/>
      <c r="E26" s="23">
        <f>TRUNC((E10+E23+E25)*0.1, 0)</f>
        <v>8979889</v>
      </c>
      <c r="F26" s="5" t="s">
        <v>1325</v>
      </c>
      <c r="G26" s="5"/>
      <c r="H26" s="10">
        <v>900820</v>
      </c>
      <c r="I26" s="5" t="s">
        <v>1255</v>
      </c>
      <c r="J26" s="5" t="s">
        <v>7</v>
      </c>
      <c r="K26" s="5" t="s">
        <v>1284</v>
      </c>
      <c r="L26" s="10">
        <v>13469834</v>
      </c>
      <c r="M26" s="5" t="s">
        <v>1281</v>
      </c>
      <c r="N26" s="5"/>
      <c r="O26" s="5" t="s">
        <v>608</v>
      </c>
    </row>
    <row r="27" spans="1:15" ht="18" customHeight="1" x14ac:dyDescent="0.3">
      <c r="A27" s="5" t="s">
        <v>1023</v>
      </c>
      <c r="B27" s="40" t="s">
        <v>598</v>
      </c>
      <c r="C27" s="41"/>
      <c r="D27" s="42"/>
      <c r="E27" s="23">
        <f>TRUNC(공종별집계표!L15, 0)</f>
        <v>133893378</v>
      </c>
      <c r="F27" s="5"/>
      <c r="G27" s="5"/>
      <c r="H27" s="10">
        <v>900850</v>
      </c>
      <c r="I27" s="5" t="s">
        <v>598</v>
      </c>
      <c r="J27" s="5" t="s">
        <v>1281</v>
      </c>
      <c r="K27" s="5" t="s">
        <v>643</v>
      </c>
      <c r="L27" s="10">
        <v>139714829</v>
      </c>
      <c r="M27" s="5" t="s">
        <v>1281</v>
      </c>
      <c r="N27" s="5"/>
      <c r="O27" s="5" t="s">
        <v>470</v>
      </c>
    </row>
    <row r="28" spans="1:15" ht="18" customHeight="1" x14ac:dyDescent="0.3">
      <c r="A28" s="5" t="s">
        <v>144</v>
      </c>
      <c r="B28" s="40" t="s">
        <v>384</v>
      </c>
      <c r="C28" s="41"/>
      <c r="D28" s="42"/>
      <c r="E28" s="23">
        <f>TRUNC(공종별집계표!L16, 0)</f>
        <v>3200000</v>
      </c>
      <c r="F28" s="5"/>
      <c r="G28" s="5"/>
      <c r="H28" s="10">
        <v>0</v>
      </c>
      <c r="I28" s="5" t="s">
        <v>384</v>
      </c>
      <c r="J28" s="5" t="s">
        <v>1281</v>
      </c>
      <c r="K28" s="5" t="s">
        <v>201</v>
      </c>
      <c r="L28" s="10">
        <v>4000000</v>
      </c>
      <c r="M28" s="5" t="s">
        <v>1281</v>
      </c>
      <c r="N28" s="5"/>
      <c r="O28" s="5"/>
    </row>
    <row r="29" spans="1:15" ht="18" customHeight="1" x14ac:dyDescent="0.3">
      <c r="A29" s="5" t="s">
        <v>649</v>
      </c>
      <c r="B29" s="40" t="s">
        <v>1072</v>
      </c>
      <c r="C29" s="41"/>
      <c r="D29" s="42"/>
      <c r="E29" s="23">
        <f>TRUNC(공종별집계표!L14, 0)</f>
        <v>-514767</v>
      </c>
      <c r="F29" s="5"/>
      <c r="G29" s="5"/>
      <c r="H29" s="10">
        <v>900870</v>
      </c>
      <c r="I29" s="5" t="s">
        <v>1072</v>
      </c>
      <c r="J29" s="5" t="s">
        <v>1281</v>
      </c>
      <c r="K29" s="5" t="s">
        <v>809</v>
      </c>
      <c r="L29" s="10">
        <v>-514767</v>
      </c>
      <c r="M29" s="5" t="s">
        <v>1281</v>
      </c>
      <c r="N29" s="5"/>
      <c r="O29" s="5" t="s">
        <v>806</v>
      </c>
    </row>
    <row r="30" spans="1:15" ht="18" customHeight="1" x14ac:dyDescent="0.3">
      <c r="A30" s="5" t="s">
        <v>678</v>
      </c>
      <c r="B30" s="40" t="s">
        <v>91</v>
      </c>
      <c r="C30" s="41"/>
      <c r="D30" s="42"/>
      <c r="E30" s="23">
        <f>TRUNC(공종별집계표!L17, 0)</f>
        <v>3544850</v>
      </c>
      <c r="F30" s="5"/>
      <c r="G30" s="5"/>
      <c r="H30" s="10">
        <v>900880</v>
      </c>
      <c r="I30" s="5" t="s">
        <v>91</v>
      </c>
      <c r="J30" s="5" t="s">
        <v>1281</v>
      </c>
      <c r="K30" s="5" t="s">
        <v>946</v>
      </c>
      <c r="L30" s="10">
        <v>3544850</v>
      </c>
      <c r="M30" s="5" t="s">
        <v>1281</v>
      </c>
      <c r="N30" s="5"/>
      <c r="O30" s="5" t="s">
        <v>449</v>
      </c>
    </row>
    <row r="31" spans="1:15" ht="18" customHeight="1" x14ac:dyDescent="0.3">
      <c r="A31" s="5" t="s">
        <v>74</v>
      </c>
      <c r="B31" s="40" t="s">
        <v>1131</v>
      </c>
      <c r="C31" s="41"/>
      <c r="D31" s="42"/>
      <c r="E31" s="23">
        <f>ROUNDDOWN(TRUNC(E24+E25+E26+0+0+E27+0+E29+E30, 0),-3)</f>
        <v>261012000</v>
      </c>
      <c r="F31" s="5"/>
      <c r="G31" s="5"/>
      <c r="H31" s="10">
        <v>900900</v>
      </c>
      <c r="I31" s="5" t="s">
        <v>1131</v>
      </c>
      <c r="J31" s="5" t="s">
        <v>1281</v>
      </c>
      <c r="K31" s="5" t="s">
        <v>535</v>
      </c>
      <c r="L31" s="10">
        <v>271324155</v>
      </c>
      <c r="M31" s="5" t="s">
        <v>1281</v>
      </c>
      <c r="N31" s="5"/>
      <c r="O31" s="5" t="s">
        <v>19</v>
      </c>
    </row>
    <row r="32" spans="1:15" ht="18" customHeight="1" x14ac:dyDescent="0.3">
      <c r="A32" s="5" t="s">
        <v>1221</v>
      </c>
      <c r="B32" s="40" t="s">
        <v>333</v>
      </c>
      <c r="C32" s="41"/>
      <c r="D32" s="42"/>
      <c r="E32" s="23">
        <f>TRUNC(E31*0.1, 0)</f>
        <v>26101200</v>
      </c>
      <c r="F32" s="5" t="s">
        <v>633</v>
      </c>
      <c r="G32" s="5"/>
      <c r="H32" s="10">
        <v>900920</v>
      </c>
      <c r="I32" s="5" t="s">
        <v>333</v>
      </c>
      <c r="J32" s="5" t="s">
        <v>447</v>
      </c>
      <c r="K32" s="5" t="s">
        <v>706</v>
      </c>
      <c r="L32" s="10">
        <v>27132415</v>
      </c>
      <c r="M32" s="5" t="s">
        <v>1281</v>
      </c>
      <c r="N32" s="5"/>
      <c r="O32" s="5" t="s">
        <v>884</v>
      </c>
    </row>
    <row r="33" spans="1:15" ht="18" customHeight="1" x14ac:dyDescent="0.3">
      <c r="A33" s="5" t="s">
        <v>626</v>
      </c>
      <c r="B33" s="40" t="s">
        <v>947</v>
      </c>
      <c r="C33" s="41"/>
      <c r="D33" s="42"/>
      <c r="E33" s="23">
        <f>TRUNC(E31+E32, -2)</f>
        <v>287113200</v>
      </c>
      <c r="F33" s="5"/>
      <c r="G33" s="5" t="s">
        <v>1323</v>
      </c>
      <c r="H33" s="10">
        <v>900990</v>
      </c>
      <c r="I33" s="5" t="s">
        <v>947</v>
      </c>
      <c r="J33" s="5" t="s">
        <v>1281</v>
      </c>
      <c r="K33" s="5" t="s">
        <v>609</v>
      </c>
      <c r="L33" s="10">
        <v>298456570</v>
      </c>
      <c r="M33" s="5" t="s">
        <v>1281</v>
      </c>
      <c r="N33" s="5"/>
      <c r="O33" s="5" t="s">
        <v>283</v>
      </c>
    </row>
    <row r="34" spans="1:15" ht="18" customHeight="1" x14ac:dyDescent="0.3">
      <c r="A34" s="5" t="s">
        <v>1188</v>
      </c>
      <c r="B34" s="40" t="s">
        <v>804</v>
      </c>
      <c r="C34" s="41"/>
      <c r="D34" s="42"/>
      <c r="E34" s="23">
        <f>TRUNC(0, 0)</f>
        <v>0</v>
      </c>
      <c r="F34" s="5" t="s">
        <v>289</v>
      </c>
      <c r="G34" s="5"/>
      <c r="H34" s="10">
        <v>1001010</v>
      </c>
      <c r="I34" s="5" t="s">
        <v>804</v>
      </c>
      <c r="J34" s="5" t="s">
        <v>1281</v>
      </c>
      <c r="K34" s="5" t="s">
        <v>823</v>
      </c>
      <c r="L34" s="10">
        <v>0</v>
      </c>
      <c r="M34" s="5" t="s">
        <v>1281</v>
      </c>
      <c r="N34" s="5"/>
      <c r="O34" s="5" t="s">
        <v>641</v>
      </c>
    </row>
    <row r="35" spans="1:15" ht="18" customHeight="1" x14ac:dyDescent="0.3">
      <c r="A35" s="5" t="s">
        <v>433</v>
      </c>
      <c r="B35" s="40" t="s">
        <v>927</v>
      </c>
      <c r="C35" s="41"/>
      <c r="D35" s="42"/>
      <c r="E35" s="23">
        <f>TRUNC(0, 0)</f>
        <v>0</v>
      </c>
      <c r="F35" s="5" t="s">
        <v>289</v>
      </c>
      <c r="G35" s="5"/>
      <c r="H35" s="10">
        <v>1001020</v>
      </c>
      <c r="I35" s="5" t="s">
        <v>927</v>
      </c>
      <c r="J35" s="5" t="s">
        <v>1281</v>
      </c>
      <c r="K35" s="5" t="s">
        <v>823</v>
      </c>
      <c r="L35" s="10">
        <v>0</v>
      </c>
      <c r="M35" s="5" t="s">
        <v>1281</v>
      </c>
      <c r="N35" s="5"/>
      <c r="O35" s="5" t="s">
        <v>774</v>
      </c>
    </row>
    <row r="36" spans="1:15" ht="18" customHeight="1" x14ac:dyDescent="0.3">
      <c r="A36" s="5" t="s">
        <v>855</v>
      </c>
      <c r="B36" s="40" t="s">
        <v>1129</v>
      </c>
      <c r="C36" s="41"/>
      <c r="D36" s="42"/>
      <c r="E36" s="23">
        <f>TRUNC(E33+E34+E35+0+0+0+0, 0)</f>
        <v>287113200</v>
      </c>
      <c r="F36" s="5"/>
      <c r="G36" s="5"/>
      <c r="H36" s="10">
        <v>1001100</v>
      </c>
      <c r="I36" s="5" t="s">
        <v>1129</v>
      </c>
      <c r="J36" s="5" t="s">
        <v>1281</v>
      </c>
      <c r="K36" s="5" t="s">
        <v>460</v>
      </c>
      <c r="L36" s="10">
        <v>298456570</v>
      </c>
      <c r="M36" s="5" t="s">
        <v>1281</v>
      </c>
      <c r="N36" s="5"/>
      <c r="O36" s="5" t="s">
        <v>153</v>
      </c>
    </row>
  </sheetData>
  <mergeCells count="21">
    <mergeCell ref="B34:D34"/>
    <mergeCell ref="B35:D35"/>
    <mergeCell ref="B36:D36"/>
    <mergeCell ref="F2:G2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A1:G1"/>
    <mergeCell ref="A2:E2"/>
    <mergeCell ref="B3:D3"/>
    <mergeCell ref="B4:B23"/>
    <mergeCell ref="C4:C7"/>
    <mergeCell ref="C8:C10"/>
    <mergeCell ref="C11:C23"/>
  </mergeCells>
  <phoneticPr fontId="8" type="noConversion"/>
  <printOptions horizontalCentered="1"/>
  <pageMargins left="0.59055118110236227" right="0.39370078740157483" top="0.47244094488188981" bottom="0.27559055118110237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Q29"/>
  <sheetViews>
    <sheetView view="pageBreakPreview" zoomScale="70" zoomScaleNormal="100" zoomScaleSheetLayoutView="70" workbookViewId="0">
      <selection activeCell="X14" sqref="X14"/>
    </sheetView>
  </sheetViews>
  <sheetFormatPr defaultColWidth="9.125"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17" width="9.125" hidden="1"/>
  </cols>
  <sheetData>
    <row r="1" spans="1:16" ht="28.5" customHeight="1" x14ac:dyDescent="0.3">
      <c r="A1" s="32" t="s">
        <v>1273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ht="24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ht="24" customHeight="1" x14ac:dyDescent="0.3">
      <c r="A3" s="44" t="s">
        <v>1124</v>
      </c>
      <c r="B3" s="44" t="s">
        <v>4</v>
      </c>
      <c r="C3" s="44" t="s">
        <v>1015</v>
      </c>
      <c r="D3" s="44" t="s">
        <v>614</v>
      </c>
      <c r="E3" s="34" t="s">
        <v>906</v>
      </c>
      <c r="F3" s="36"/>
      <c r="G3" s="34" t="s">
        <v>713</v>
      </c>
      <c r="H3" s="36"/>
      <c r="I3" s="34" t="s">
        <v>696</v>
      </c>
      <c r="J3" s="36"/>
      <c r="K3" s="34" t="s">
        <v>1017</v>
      </c>
      <c r="L3" s="36"/>
      <c r="M3" s="44" t="s">
        <v>628</v>
      </c>
    </row>
    <row r="4" spans="1:16" ht="24" customHeight="1" x14ac:dyDescent="0.3">
      <c r="A4" s="45"/>
      <c r="B4" s="45"/>
      <c r="C4" s="45"/>
      <c r="D4" s="45"/>
      <c r="E4" s="8" t="s">
        <v>1068</v>
      </c>
      <c r="F4" s="8" t="s">
        <v>1289</v>
      </c>
      <c r="G4" s="8" t="s">
        <v>1068</v>
      </c>
      <c r="H4" s="8" t="s">
        <v>1289</v>
      </c>
      <c r="I4" s="8" t="s">
        <v>1068</v>
      </c>
      <c r="J4" s="8" t="s">
        <v>1289</v>
      </c>
      <c r="K4" s="8" t="s">
        <v>1068</v>
      </c>
      <c r="L4" s="8" t="s">
        <v>1289</v>
      </c>
      <c r="M4" s="45"/>
    </row>
    <row r="5" spans="1:16" ht="24" customHeight="1" x14ac:dyDescent="0.3">
      <c r="A5" s="19" t="s">
        <v>122</v>
      </c>
      <c r="B5" s="5"/>
      <c r="C5" s="5"/>
      <c r="D5" s="10">
        <v>1</v>
      </c>
      <c r="E5" s="16">
        <f>F6</f>
        <v>25310515</v>
      </c>
      <c r="F5" s="16">
        <f t="shared" ref="F5:F17" si="0">D5*E5</f>
        <v>25310515</v>
      </c>
      <c r="G5" s="16">
        <f>H6</f>
        <v>52917562</v>
      </c>
      <c r="H5" s="16">
        <f t="shared" ref="H5:H17" si="1">D5*G5</f>
        <v>52917562</v>
      </c>
      <c r="I5" s="16">
        <f>J6</f>
        <v>4939227</v>
      </c>
      <c r="J5" s="16">
        <f t="shared" ref="J5:J17" si="2">D5*I5</f>
        <v>4939227</v>
      </c>
      <c r="K5" s="16">
        <f t="shared" ref="K5:K17" si="3">E5+G5+I5</f>
        <v>83167304</v>
      </c>
      <c r="L5" s="16">
        <f t="shared" ref="L5:L17" si="4">F5+H5+J5</f>
        <v>83167304</v>
      </c>
      <c r="M5" s="29"/>
      <c r="N5" s="7" t="s">
        <v>708</v>
      </c>
      <c r="O5" s="31">
        <v>100000</v>
      </c>
      <c r="P5" s="14"/>
    </row>
    <row r="6" spans="1:16" ht="24" customHeight="1" x14ac:dyDescent="0.3">
      <c r="A6" s="19" t="s">
        <v>1176</v>
      </c>
      <c r="B6" s="5"/>
      <c r="C6" s="5"/>
      <c r="D6" s="10">
        <v>1</v>
      </c>
      <c r="E6" s="16">
        <f>F7+F8+F9+F10+F11+F12+F13</f>
        <v>25310515</v>
      </c>
      <c r="F6" s="16">
        <f t="shared" si="0"/>
        <v>25310515</v>
      </c>
      <c r="G6" s="16">
        <f>H7+H8+H9+H10+H11+H12+H13</f>
        <v>52917562</v>
      </c>
      <c r="H6" s="16">
        <f t="shared" si="1"/>
        <v>52917562</v>
      </c>
      <c r="I6" s="16">
        <f>J7+J8+J9+J10+J11+J12+J13</f>
        <v>4939227</v>
      </c>
      <c r="J6" s="16">
        <f t="shared" si="2"/>
        <v>4939227</v>
      </c>
      <c r="K6" s="16">
        <f t="shared" si="3"/>
        <v>83167304</v>
      </c>
      <c r="L6" s="16">
        <f t="shared" si="4"/>
        <v>83167304</v>
      </c>
      <c r="M6" s="29"/>
      <c r="N6" s="7" t="s">
        <v>402</v>
      </c>
      <c r="O6" s="31">
        <v>1459152</v>
      </c>
      <c r="P6" s="14"/>
    </row>
    <row r="7" spans="1:16" ht="24" customHeight="1" x14ac:dyDescent="0.3">
      <c r="A7" s="19" t="s">
        <v>733</v>
      </c>
      <c r="B7" s="5"/>
      <c r="C7" s="5"/>
      <c r="D7" s="10">
        <v>1</v>
      </c>
      <c r="E7" s="16">
        <f>공종별내역서!F29</f>
        <v>6049786</v>
      </c>
      <c r="F7" s="16">
        <f t="shared" si="0"/>
        <v>6049786</v>
      </c>
      <c r="G7" s="16">
        <f>공종별내역서!H29</f>
        <v>16620857</v>
      </c>
      <c r="H7" s="16">
        <f t="shared" si="1"/>
        <v>16620857</v>
      </c>
      <c r="I7" s="16">
        <f>공종별내역서!J29</f>
        <v>3853569</v>
      </c>
      <c r="J7" s="16">
        <f t="shared" si="2"/>
        <v>3853569</v>
      </c>
      <c r="K7" s="16">
        <f t="shared" si="3"/>
        <v>26524212</v>
      </c>
      <c r="L7" s="16">
        <f t="shared" si="4"/>
        <v>26524212</v>
      </c>
      <c r="M7" s="29"/>
      <c r="N7" s="7" t="s">
        <v>1272</v>
      </c>
      <c r="O7" s="31">
        <v>1526512</v>
      </c>
      <c r="P7" s="14"/>
    </row>
    <row r="8" spans="1:16" ht="24" customHeight="1" x14ac:dyDescent="0.3">
      <c r="A8" s="19" t="s">
        <v>898</v>
      </c>
      <c r="B8" s="5"/>
      <c r="C8" s="5"/>
      <c r="D8" s="10">
        <v>1</v>
      </c>
      <c r="E8" s="16">
        <f>공종별내역서!F54</f>
        <v>16326464</v>
      </c>
      <c r="F8" s="16">
        <f t="shared" si="0"/>
        <v>16326464</v>
      </c>
      <c r="G8" s="16">
        <f>공종별내역서!H54</f>
        <v>14464506</v>
      </c>
      <c r="H8" s="16">
        <f t="shared" si="1"/>
        <v>14464506</v>
      </c>
      <c r="I8" s="16">
        <f>공종별내역서!J54</f>
        <v>831554</v>
      </c>
      <c r="J8" s="16">
        <f t="shared" si="2"/>
        <v>831554</v>
      </c>
      <c r="K8" s="16">
        <f t="shared" si="3"/>
        <v>31622524</v>
      </c>
      <c r="L8" s="16">
        <f t="shared" si="4"/>
        <v>31622524</v>
      </c>
      <c r="M8" s="29"/>
      <c r="N8" s="7" t="s">
        <v>659</v>
      </c>
      <c r="O8" s="31">
        <v>1629267</v>
      </c>
      <c r="P8" s="14"/>
    </row>
    <row r="9" spans="1:16" ht="24" customHeight="1" x14ac:dyDescent="0.3">
      <c r="A9" s="19" t="s">
        <v>555</v>
      </c>
      <c r="B9" s="5"/>
      <c r="C9" s="5"/>
      <c r="D9" s="10">
        <v>1</v>
      </c>
      <c r="E9" s="16">
        <f>공종별내역서!F79</f>
        <v>2465224</v>
      </c>
      <c r="F9" s="16">
        <f t="shared" si="0"/>
        <v>2465224</v>
      </c>
      <c r="G9" s="16">
        <f>공종별내역서!H79</f>
        <v>6083177</v>
      </c>
      <c r="H9" s="16">
        <f t="shared" si="1"/>
        <v>6083177</v>
      </c>
      <c r="I9" s="16">
        <f>공종별내역서!J79</f>
        <v>0</v>
      </c>
      <c r="J9" s="16">
        <f t="shared" si="2"/>
        <v>0</v>
      </c>
      <c r="K9" s="16">
        <f t="shared" si="3"/>
        <v>8548401</v>
      </c>
      <c r="L9" s="16">
        <f t="shared" si="4"/>
        <v>8548401</v>
      </c>
      <c r="M9" s="29"/>
      <c r="N9" s="7" t="s">
        <v>1271</v>
      </c>
      <c r="O9" s="31">
        <v>1809924</v>
      </c>
      <c r="P9" s="14"/>
    </row>
    <row r="10" spans="1:16" ht="24" customHeight="1" x14ac:dyDescent="0.3">
      <c r="A10" s="19" t="s">
        <v>780</v>
      </c>
      <c r="B10" s="5"/>
      <c r="C10" s="5"/>
      <c r="D10" s="10">
        <v>1</v>
      </c>
      <c r="E10" s="16">
        <f>공종별내역서!F104</f>
        <v>886994</v>
      </c>
      <c r="F10" s="16">
        <f t="shared" si="0"/>
        <v>886994</v>
      </c>
      <c r="G10" s="16">
        <f>공종별내역서!H104</f>
        <v>750467</v>
      </c>
      <c r="H10" s="16">
        <f t="shared" si="1"/>
        <v>750467</v>
      </c>
      <c r="I10" s="16">
        <f>공종별내역서!J104</f>
        <v>0</v>
      </c>
      <c r="J10" s="16">
        <f t="shared" si="2"/>
        <v>0</v>
      </c>
      <c r="K10" s="16">
        <f t="shared" si="3"/>
        <v>1637461</v>
      </c>
      <c r="L10" s="16">
        <f t="shared" si="4"/>
        <v>1637461</v>
      </c>
      <c r="M10" s="29"/>
      <c r="N10" s="7" t="s">
        <v>488</v>
      </c>
      <c r="O10" s="31">
        <v>2009676</v>
      </c>
      <c r="P10" s="14"/>
    </row>
    <row r="11" spans="1:16" ht="24" customHeight="1" x14ac:dyDescent="0.3">
      <c r="A11" s="19" t="s">
        <v>1292</v>
      </c>
      <c r="B11" s="5"/>
      <c r="C11" s="5"/>
      <c r="D11" s="10">
        <v>1</v>
      </c>
      <c r="E11" s="16">
        <f>공종별내역서!F129</f>
        <v>-557839</v>
      </c>
      <c r="F11" s="16">
        <f t="shared" si="0"/>
        <v>-557839</v>
      </c>
      <c r="G11" s="16">
        <f>공종별내역서!H129</f>
        <v>2378381</v>
      </c>
      <c r="H11" s="16">
        <f t="shared" si="1"/>
        <v>2378381</v>
      </c>
      <c r="I11" s="16">
        <f>공종별내역서!J129</f>
        <v>61505</v>
      </c>
      <c r="J11" s="16">
        <f t="shared" si="2"/>
        <v>61505</v>
      </c>
      <c r="K11" s="16">
        <f t="shared" si="3"/>
        <v>1882047</v>
      </c>
      <c r="L11" s="16">
        <f t="shared" si="4"/>
        <v>1882047</v>
      </c>
      <c r="M11" s="29"/>
      <c r="N11" s="7" t="s">
        <v>1038</v>
      </c>
      <c r="O11" s="31">
        <v>2140111</v>
      </c>
      <c r="P11" s="14"/>
    </row>
    <row r="12" spans="1:16" ht="24" customHeight="1" x14ac:dyDescent="0.3">
      <c r="A12" s="19" t="s">
        <v>1037</v>
      </c>
      <c r="B12" s="5"/>
      <c r="C12" s="5"/>
      <c r="D12" s="10">
        <v>1</v>
      </c>
      <c r="E12" s="16">
        <f>공종별내역서!F154</f>
        <v>139886</v>
      </c>
      <c r="F12" s="16">
        <f t="shared" si="0"/>
        <v>139886</v>
      </c>
      <c r="G12" s="16">
        <f>공종별내역서!H154</f>
        <v>12620174</v>
      </c>
      <c r="H12" s="16">
        <f t="shared" si="1"/>
        <v>12620174</v>
      </c>
      <c r="I12" s="16">
        <f>공종별내역서!J154</f>
        <v>92010</v>
      </c>
      <c r="J12" s="16">
        <f t="shared" si="2"/>
        <v>92010</v>
      </c>
      <c r="K12" s="16">
        <f t="shared" si="3"/>
        <v>12852070</v>
      </c>
      <c r="L12" s="16">
        <f t="shared" si="4"/>
        <v>12852070</v>
      </c>
      <c r="M12" s="29"/>
      <c r="N12" s="7" t="s">
        <v>669</v>
      </c>
      <c r="O12" s="31">
        <v>2212868</v>
      </c>
      <c r="P12" s="14"/>
    </row>
    <row r="13" spans="1:16" ht="24" customHeight="1" x14ac:dyDescent="0.3">
      <c r="A13" s="19" t="s">
        <v>1146</v>
      </c>
      <c r="B13" s="5"/>
      <c r="C13" s="5"/>
      <c r="D13" s="10">
        <v>1</v>
      </c>
      <c r="E13" s="16">
        <f>공종별내역서!F179</f>
        <v>0</v>
      </c>
      <c r="F13" s="16">
        <f t="shared" si="0"/>
        <v>0</v>
      </c>
      <c r="G13" s="16">
        <f>공종별내역서!H179</f>
        <v>0</v>
      </c>
      <c r="H13" s="16">
        <f t="shared" si="1"/>
        <v>0</v>
      </c>
      <c r="I13" s="16">
        <f>공종별내역서!J179</f>
        <v>100589</v>
      </c>
      <c r="J13" s="16">
        <f t="shared" si="2"/>
        <v>100589</v>
      </c>
      <c r="K13" s="16">
        <f t="shared" si="3"/>
        <v>100589</v>
      </c>
      <c r="L13" s="16">
        <f t="shared" si="4"/>
        <v>100589</v>
      </c>
      <c r="M13" s="29"/>
      <c r="N13" s="7" t="s">
        <v>131</v>
      </c>
      <c r="O13" s="31">
        <v>2264354</v>
      </c>
      <c r="P13" s="14"/>
    </row>
    <row r="14" spans="1:16" ht="24" customHeight="1" x14ac:dyDescent="0.3">
      <c r="A14" s="19" t="s">
        <v>31</v>
      </c>
      <c r="B14" s="5"/>
      <c r="C14" s="5"/>
      <c r="D14" s="10">
        <v>-1</v>
      </c>
      <c r="E14" s="16">
        <f>공종별내역서!F204</f>
        <v>514767</v>
      </c>
      <c r="F14" s="16">
        <f t="shared" si="0"/>
        <v>-514767</v>
      </c>
      <c r="G14" s="16">
        <f>공종별내역서!H204</f>
        <v>0</v>
      </c>
      <c r="H14" s="16">
        <f t="shared" si="1"/>
        <v>0</v>
      </c>
      <c r="I14" s="16">
        <f>공종별내역서!J204</f>
        <v>0</v>
      </c>
      <c r="J14" s="16">
        <f t="shared" si="2"/>
        <v>0</v>
      </c>
      <c r="K14" s="16">
        <f t="shared" si="3"/>
        <v>514767</v>
      </c>
      <c r="L14" s="16">
        <f t="shared" si="4"/>
        <v>-514767</v>
      </c>
      <c r="M14" s="29" t="s">
        <v>509</v>
      </c>
      <c r="N14" s="7" t="s">
        <v>1211</v>
      </c>
      <c r="O14" s="31">
        <v>2326416</v>
      </c>
      <c r="P14" s="14" t="s">
        <v>44</v>
      </c>
    </row>
    <row r="15" spans="1:16" ht="24" customHeight="1" x14ac:dyDescent="0.3">
      <c r="A15" s="19" t="s">
        <v>340</v>
      </c>
      <c r="B15" s="5"/>
      <c r="C15" s="5"/>
      <c r="D15" s="10">
        <v>1</v>
      </c>
      <c r="E15" s="16">
        <f>공종별내역서!F229</f>
        <v>133893378</v>
      </c>
      <c r="F15" s="16">
        <f t="shared" si="0"/>
        <v>133893378</v>
      </c>
      <c r="G15" s="16">
        <f>공종별내역서!H229</f>
        <v>0</v>
      </c>
      <c r="H15" s="16">
        <f t="shared" si="1"/>
        <v>0</v>
      </c>
      <c r="I15" s="16">
        <f>공종별내역서!J229</f>
        <v>0</v>
      </c>
      <c r="J15" s="16">
        <f t="shared" si="2"/>
        <v>0</v>
      </c>
      <c r="K15" s="16">
        <f t="shared" si="3"/>
        <v>133893378</v>
      </c>
      <c r="L15" s="16">
        <f t="shared" si="4"/>
        <v>133893378</v>
      </c>
      <c r="M15" s="29" t="s">
        <v>509</v>
      </c>
      <c r="N15" s="7" t="s">
        <v>705</v>
      </c>
      <c r="O15" s="31">
        <v>2378767</v>
      </c>
      <c r="P15" s="14" t="s">
        <v>388</v>
      </c>
    </row>
    <row r="16" spans="1:16" ht="24" customHeight="1" x14ac:dyDescent="0.3">
      <c r="A16" s="19" t="s">
        <v>376</v>
      </c>
      <c r="B16" s="5"/>
      <c r="C16" s="5"/>
      <c r="D16" s="10">
        <v>1</v>
      </c>
      <c r="E16" s="16">
        <f>공종별내역서!F254</f>
        <v>3200000</v>
      </c>
      <c r="F16" s="16">
        <f t="shared" si="0"/>
        <v>3200000</v>
      </c>
      <c r="G16" s="16">
        <f>공종별내역서!H254</f>
        <v>0</v>
      </c>
      <c r="H16" s="16">
        <f t="shared" si="1"/>
        <v>0</v>
      </c>
      <c r="I16" s="16">
        <f>공종별내역서!J254</f>
        <v>0</v>
      </c>
      <c r="J16" s="16">
        <f t="shared" si="2"/>
        <v>0</v>
      </c>
      <c r="K16" s="16">
        <f t="shared" si="3"/>
        <v>3200000</v>
      </c>
      <c r="L16" s="16">
        <f t="shared" si="4"/>
        <v>3200000</v>
      </c>
      <c r="M16" s="29" t="s">
        <v>509</v>
      </c>
      <c r="N16" s="7" t="s">
        <v>620</v>
      </c>
      <c r="O16" s="31">
        <v>2434465</v>
      </c>
      <c r="P16" s="14" t="s">
        <v>447</v>
      </c>
    </row>
    <row r="17" spans="1:16" ht="24" customHeight="1" x14ac:dyDescent="0.3">
      <c r="A17" s="19" t="s">
        <v>616</v>
      </c>
      <c r="B17" s="5"/>
      <c r="C17" s="5"/>
      <c r="D17" s="10">
        <v>1</v>
      </c>
      <c r="E17" s="16">
        <f>공종별내역서!F279</f>
        <v>0</v>
      </c>
      <c r="F17" s="16">
        <f t="shared" si="0"/>
        <v>0</v>
      </c>
      <c r="G17" s="16">
        <f>공종별내역서!H279</f>
        <v>0</v>
      </c>
      <c r="H17" s="16">
        <f t="shared" si="1"/>
        <v>0</v>
      </c>
      <c r="I17" s="16">
        <f>공종별내역서!J279</f>
        <v>3544850</v>
      </c>
      <c r="J17" s="16">
        <f t="shared" si="2"/>
        <v>3544850</v>
      </c>
      <c r="K17" s="16">
        <f t="shared" si="3"/>
        <v>3544850</v>
      </c>
      <c r="L17" s="16">
        <f t="shared" si="4"/>
        <v>3544850</v>
      </c>
      <c r="M17" s="29" t="s">
        <v>509</v>
      </c>
      <c r="N17" s="7" t="s">
        <v>426</v>
      </c>
      <c r="O17" s="31">
        <v>2536194</v>
      </c>
      <c r="P17" s="14" t="s">
        <v>967</v>
      </c>
    </row>
    <row r="18" spans="1:16" ht="24" customHeight="1" x14ac:dyDescent="0.3">
      <c r="A18" s="5" t="s">
        <v>823</v>
      </c>
      <c r="B18" s="5" t="s">
        <v>823</v>
      </c>
      <c r="C18" s="5" t="s">
        <v>823</v>
      </c>
      <c r="D18" s="5" t="s">
        <v>823</v>
      </c>
      <c r="E18" s="5" t="s">
        <v>823</v>
      </c>
      <c r="F18" s="5" t="s">
        <v>823</v>
      </c>
      <c r="G18" s="5" t="s">
        <v>823</v>
      </c>
      <c r="H18" s="5" t="s">
        <v>823</v>
      </c>
      <c r="I18" s="5" t="s">
        <v>823</v>
      </c>
      <c r="J18" s="5" t="s">
        <v>823</v>
      </c>
      <c r="K18" s="5" t="s">
        <v>823</v>
      </c>
      <c r="L18" s="5" t="s">
        <v>823</v>
      </c>
      <c r="M18" s="5" t="s">
        <v>823</v>
      </c>
    </row>
    <row r="19" spans="1:16" ht="24" customHeight="1" x14ac:dyDescent="0.3">
      <c r="A19" s="5" t="s">
        <v>823</v>
      </c>
      <c r="B19" s="5" t="s">
        <v>823</v>
      </c>
      <c r="C19" s="5" t="s">
        <v>823</v>
      </c>
      <c r="D19" s="5" t="s">
        <v>823</v>
      </c>
      <c r="E19" s="5" t="s">
        <v>823</v>
      </c>
      <c r="F19" s="5" t="s">
        <v>823</v>
      </c>
      <c r="G19" s="5" t="s">
        <v>823</v>
      </c>
      <c r="H19" s="5" t="s">
        <v>823</v>
      </c>
      <c r="I19" s="5" t="s">
        <v>823</v>
      </c>
      <c r="J19" s="5" t="s">
        <v>823</v>
      </c>
      <c r="K19" s="5" t="s">
        <v>823</v>
      </c>
      <c r="L19" s="5" t="s">
        <v>823</v>
      </c>
      <c r="M19" s="5" t="s">
        <v>823</v>
      </c>
    </row>
    <row r="20" spans="1:16" ht="24" customHeight="1" x14ac:dyDescent="0.3">
      <c r="A20" s="5" t="s">
        <v>823</v>
      </c>
      <c r="B20" s="5" t="s">
        <v>823</v>
      </c>
      <c r="C20" s="5" t="s">
        <v>823</v>
      </c>
      <c r="D20" s="5" t="s">
        <v>823</v>
      </c>
      <c r="E20" s="5" t="s">
        <v>823</v>
      </c>
      <c r="F20" s="5" t="s">
        <v>823</v>
      </c>
      <c r="G20" s="5" t="s">
        <v>823</v>
      </c>
      <c r="H20" s="5" t="s">
        <v>823</v>
      </c>
      <c r="I20" s="5" t="s">
        <v>823</v>
      </c>
      <c r="J20" s="5" t="s">
        <v>823</v>
      </c>
      <c r="K20" s="5" t="s">
        <v>823</v>
      </c>
      <c r="L20" s="5" t="s">
        <v>823</v>
      </c>
      <c r="M20" s="5" t="s">
        <v>823</v>
      </c>
    </row>
    <row r="21" spans="1:16" ht="24" customHeight="1" x14ac:dyDescent="0.3">
      <c r="A21" s="5" t="s">
        <v>823</v>
      </c>
      <c r="B21" s="5" t="s">
        <v>823</v>
      </c>
      <c r="C21" s="5" t="s">
        <v>823</v>
      </c>
      <c r="D21" s="5" t="s">
        <v>823</v>
      </c>
      <c r="E21" s="5" t="s">
        <v>823</v>
      </c>
      <c r="F21" s="5" t="s">
        <v>823</v>
      </c>
      <c r="G21" s="5" t="s">
        <v>823</v>
      </c>
      <c r="H21" s="5" t="s">
        <v>823</v>
      </c>
      <c r="I21" s="5" t="s">
        <v>823</v>
      </c>
      <c r="J21" s="5" t="s">
        <v>823</v>
      </c>
      <c r="K21" s="5" t="s">
        <v>823</v>
      </c>
      <c r="L21" s="5" t="s">
        <v>823</v>
      </c>
      <c r="M21" s="5" t="s">
        <v>823</v>
      </c>
    </row>
    <row r="22" spans="1:16" ht="24" customHeight="1" x14ac:dyDescent="0.3">
      <c r="A22" s="5" t="s">
        <v>823</v>
      </c>
      <c r="B22" s="5" t="s">
        <v>823</v>
      </c>
      <c r="C22" s="5" t="s">
        <v>823</v>
      </c>
      <c r="D22" s="5" t="s">
        <v>823</v>
      </c>
      <c r="E22" s="5" t="s">
        <v>823</v>
      </c>
      <c r="F22" s="5" t="s">
        <v>823</v>
      </c>
      <c r="G22" s="5" t="s">
        <v>823</v>
      </c>
      <c r="H22" s="5" t="s">
        <v>823</v>
      </c>
      <c r="I22" s="5" t="s">
        <v>823</v>
      </c>
      <c r="J22" s="5" t="s">
        <v>823</v>
      </c>
      <c r="K22" s="5" t="s">
        <v>823</v>
      </c>
      <c r="L22" s="5" t="s">
        <v>823</v>
      </c>
      <c r="M22" s="5" t="s">
        <v>823</v>
      </c>
    </row>
    <row r="23" spans="1:16" ht="24" customHeight="1" x14ac:dyDescent="0.3">
      <c r="A23" s="5" t="s">
        <v>823</v>
      </c>
      <c r="B23" s="5" t="s">
        <v>823</v>
      </c>
      <c r="C23" s="5" t="s">
        <v>823</v>
      </c>
      <c r="D23" s="5" t="s">
        <v>823</v>
      </c>
      <c r="E23" s="5" t="s">
        <v>823</v>
      </c>
      <c r="F23" s="5" t="s">
        <v>823</v>
      </c>
      <c r="G23" s="5" t="s">
        <v>823</v>
      </c>
      <c r="H23" s="5" t="s">
        <v>823</v>
      </c>
      <c r="I23" s="5" t="s">
        <v>823</v>
      </c>
      <c r="J23" s="5" t="s">
        <v>823</v>
      </c>
      <c r="K23" s="5" t="s">
        <v>823</v>
      </c>
      <c r="L23" s="5" t="s">
        <v>823</v>
      </c>
      <c r="M23" s="5" t="s">
        <v>823</v>
      </c>
    </row>
    <row r="24" spans="1:16" ht="24" customHeight="1" x14ac:dyDescent="0.3">
      <c r="A24" s="5" t="s">
        <v>823</v>
      </c>
      <c r="B24" s="5" t="s">
        <v>823</v>
      </c>
      <c r="C24" s="5" t="s">
        <v>823</v>
      </c>
      <c r="D24" s="5" t="s">
        <v>823</v>
      </c>
      <c r="E24" s="5" t="s">
        <v>823</v>
      </c>
      <c r="F24" s="5" t="s">
        <v>823</v>
      </c>
      <c r="G24" s="5" t="s">
        <v>823</v>
      </c>
      <c r="H24" s="5" t="s">
        <v>823</v>
      </c>
      <c r="I24" s="5" t="s">
        <v>823</v>
      </c>
      <c r="J24" s="5" t="s">
        <v>823</v>
      </c>
      <c r="K24" s="5" t="s">
        <v>823</v>
      </c>
      <c r="L24" s="5" t="s">
        <v>823</v>
      </c>
      <c r="M24" s="5" t="s">
        <v>823</v>
      </c>
    </row>
    <row r="25" spans="1:16" ht="24" customHeight="1" x14ac:dyDescent="0.3">
      <c r="A25" s="5" t="s">
        <v>823</v>
      </c>
      <c r="B25" s="5" t="s">
        <v>823</v>
      </c>
      <c r="C25" s="5" t="s">
        <v>823</v>
      </c>
      <c r="D25" s="5" t="s">
        <v>823</v>
      </c>
      <c r="E25" s="5" t="s">
        <v>823</v>
      </c>
      <c r="F25" s="5" t="s">
        <v>823</v>
      </c>
      <c r="G25" s="5" t="s">
        <v>823</v>
      </c>
      <c r="H25" s="5" t="s">
        <v>823</v>
      </c>
      <c r="I25" s="5" t="s">
        <v>823</v>
      </c>
      <c r="J25" s="5" t="s">
        <v>823</v>
      </c>
      <c r="K25" s="5" t="s">
        <v>823</v>
      </c>
      <c r="L25" s="5" t="s">
        <v>823</v>
      </c>
      <c r="M25" s="5" t="s">
        <v>823</v>
      </c>
    </row>
    <row r="26" spans="1:16" ht="24" customHeight="1" x14ac:dyDescent="0.3">
      <c r="A26" s="5" t="s">
        <v>823</v>
      </c>
      <c r="B26" s="5" t="s">
        <v>823</v>
      </c>
      <c r="C26" s="5" t="s">
        <v>823</v>
      </c>
      <c r="D26" s="5" t="s">
        <v>823</v>
      </c>
      <c r="E26" s="5" t="s">
        <v>823</v>
      </c>
      <c r="F26" s="5" t="s">
        <v>823</v>
      </c>
      <c r="G26" s="5" t="s">
        <v>823</v>
      </c>
      <c r="H26" s="5" t="s">
        <v>823</v>
      </c>
      <c r="I26" s="5" t="s">
        <v>823</v>
      </c>
      <c r="J26" s="5" t="s">
        <v>823</v>
      </c>
      <c r="K26" s="5" t="s">
        <v>823</v>
      </c>
      <c r="L26" s="5" t="s">
        <v>823</v>
      </c>
      <c r="M26" s="5" t="s">
        <v>823</v>
      </c>
    </row>
    <row r="27" spans="1:16" ht="24" customHeight="1" x14ac:dyDescent="0.3">
      <c r="A27" s="5" t="s">
        <v>823</v>
      </c>
      <c r="B27" s="5" t="s">
        <v>823</v>
      </c>
      <c r="C27" s="5" t="s">
        <v>823</v>
      </c>
      <c r="D27" s="5" t="s">
        <v>823</v>
      </c>
      <c r="E27" s="5" t="s">
        <v>823</v>
      </c>
      <c r="F27" s="5" t="s">
        <v>823</v>
      </c>
      <c r="G27" s="5" t="s">
        <v>823</v>
      </c>
      <c r="H27" s="5" t="s">
        <v>823</v>
      </c>
      <c r="I27" s="5" t="s">
        <v>823</v>
      </c>
      <c r="J27" s="5" t="s">
        <v>823</v>
      </c>
      <c r="K27" s="5" t="s">
        <v>823</v>
      </c>
      <c r="L27" s="5" t="s">
        <v>823</v>
      </c>
      <c r="M27" s="5" t="s">
        <v>823</v>
      </c>
    </row>
    <row r="28" spans="1:16" ht="24" customHeight="1" x14ac:dyDescent="0.3">
      <c r="A28" s="5" t="s">
        <v>823</v>
      </c>
      <c r="B28" s="5" t="s">
        <v>823</v>
      </c>
      <c r="C28" s="5" t="s">
        <v>823</v>
      </c>
      <c r="D28" s="5" t="s">
        <v>823</v>
      </c>
      <c r="E28" s="5" t="s">
        <v>823</v>
      </c>
      <c r="F28" s="5" t="s">
        <v>823</v>
      </c>
      <c r="G28" s="5" t="s">
        <v>823</v>
      </c>
      <c r="H28" s="5" t="s">
        <v>823</v>
      </c>
      <c r="I28" s="5" t="s">
        <v>823</v>
      </c>
      <c r="J28" s="5" t="s">
        <v>823</v>
      </c>
      <c r="K28" s="5" t="s">
        <v>823</v>
      </c>
      <c r="L28" s="5" t="s">
        <v>823</v>
      </c>
      <c r="M28" s="5" t="s">
        <v>823</v>
      </c>
    </row>
    <row r="29" spans="1:16" ht="24" customHeight="1" x14ac:dyDescent="0.3">
      <c r="A29" s="5" t="s">
        <v>141</v>
      </c>
      <c r="B29" s="5" t="s">
        <v>823</v>
      </c>
      <c r="C29" s="5" t="s">
        <v>823</v>
      </c>
      <c r="D29" s="5" t="s">
        <v>823</v>
      </c>
      <c r="E29" s="5" t="s">
        <v>823</v>
      </c>
      <c r="F29" s="16">
        <f>F5</f>
        <v>25310515</v>
      </c>
      <c r="G29" s="5" t="s">
        <v>823</v>
      </c>
      <c r="H29" s="16">
        <f>H5</f>
        <v>52917562</v>
      </c>
      <c r="I29" s="5" t="s">
        <v>823</v>
      </c>
      <c r="J29" s="16">
        <f>J5</f>
        <v>4939227</v>
      </c>
      <c r="K29" s="5" t="s">
        <v>823</v>
      </c>
      <c r="L29" s="16">
        <f>L5</f>
        <v>83167304</v>
      </c>
      <c r="M29" s="5" t="s">
        <v>823</v>
      </c>
    </row>
  </sheetData>
  <mergeCells count="11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8" type="noConversion"/>
  <printOptions horizontalCentered="1"/>
  <pageMargins left="0.59055118110236227" right="0.39370078740157483" top="0.47244094488188981" bottom="0.27559055118110237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AW279"/>
  <sheetViews>
    <sheetView view="pageBreakPreview" topLeftCell="A7" zoomScale="70" zoomScaleNormal="100" zoomScaleSheetLayoutView="70" workbookViewId="0">
      <selection activeCell="B17" sqref="B17"/>
    </sheetView>
  </sheetViews>
  <sheetFormatPr defaultColWidth="9.125"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8" width="9.125" hidden="1"/>
  </cols>
  <sheetData>
    <row r="1" spans="1:49" ht="30" customHeight="1" x14ac:dyDescent="0.3">
      <c r="A1" s="32" t="s">
        <v>236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49" ht="28.5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</row>
    <row r="3" spans="1:49" ht="28.5" customHeight="1" x14ac:dyDescent="0.3">
      <c r="A3" s="44" t="s">
        <v>1124</v>
      </c>
      <c r="B3" s="44" t="s">
        <v>4</v>
      </c>
      <c r="C3" s="44" t="s">
        <v>1015</v>
      </c>
      <c r="D3" s="44" t="s">
        <v>614</v>
      </c>
      <c r="E3" s="34" t="s">
        <v>906</v>
      </c>
      <c r="F3" s="36"/>
      <c r="G3" s="34" t="s">
        <v>713</v>
      </c>
      <c r="H3" s="36"/>
      <c r="I3" s="34" t="s">
        <v>696</v>
      </c>
      <c r="J3" s="36"/>
      <c r="K3" s="34" t="s">
        <v>1017</v>
      </c>
      <c r="L3" s="36"/>
      <c r="M3" s="44" t="s">
        <v>628</v>
      </c>
      <c r="N3" s="46" t="s">
        <v>890</v>
      </c>
      <c r="O3" s="47" t="s">
        <v>822</v>
      </c>
      <c r="P3" s="47" t="s">
        <v>1064</v>
      </c>
      <c r="Q3" s="47" t="s">
        <v>179</v>
      </c>
      <c r="R3" s="47" t="s">
        <v>673</v>
      </c>
      <c r="S3" s="47" t="s">
        <v>1000</v>
      </c>
      <c r="T3" s="47" t="s">
        <v>989</v>
      </c>
      <c r="U3" s="47" t="s">
        <v>1206</v>
      </c>
      <c r="V3" s="47" t="s">
        <v>883</v>
      </c>
      <c r="W3" s="47" t="s">
        <v>114</v>
      </c>
      <c r="X3" s="47" t="s">
        <v>991</v>
      </c>
      <c r="Y3" s="47" t="s">
        <v>771</v>
      </c>
      <c r="Z3" s="47" t="s">
        <v>599</v>
      </c>
      <c r="AA3" s="47" t="s">
        <v>849</v>
      </c>
      <c r="AB3" s="47" t="s">
        <v>362</v>
      </c>
      <c r="AC3" s="47" t="s">
        <v>1301</v>
      </c>
      <c r="AD3" s="47" t="s">
        <v>300</v>
      </c>
      <c r="AE3" s="47" t="s">
        <v>185</v>
      </c>
      <c r="AF3" s="47" t="s">
        <v>558</v>
      </c>
      <c r="AG3" s="47" t="s">
        <v>729</v>
      </c>
      <c r="AH3" s="47" t="s">
        <v>381</v>
      </c>
      <c r="AI3" s="47" t="s">
        <v>278</v>
      </c>
      <c r="AJ3" s="47" t="s">
        <v>1085</v>
      </c>
      <c r="AK3" s="47" t="s">
        <v>352</v>
      </c>
      <c r="AL3" s="47" t="s">
        <v>880</v>
      </c>
      <c r="AM3" s="47" t="s">
        <v>1156</v>
      </c>
      <c r="AN3" s="47" t="s">
        <v>181</v>
      </c>
      <c r="AO3" s="47" t="s">
        <v>586</v>
      </c>
      <c r="AP3" s="47" t="s">
        <v>173</v>
      </c>
      <c r="AQ3" s="47" t="s">
        <v>399</v>
      </c>
      <c r="AR3" s="47" t="s">
        <v>240</v>
      </c>
      <c r="AS3" s="47" t="s">
        <v>905</v>
      </c>
      <c r="AT3" s="47" t="s">
        <v>117</v>
      </c>
      <c r="AU3" s="47" t="s">
        <v>200</v>
      </c>
      <c r="AV3" s="47" t="s">
        <v>736</v>
      </c>
      <c r="AW3" s="44" t="s">
        <v>923</v>
      </c>
    </row>
    <row r="4" spans="1:49" ht="28.5" customHeight="1" x14ac:dyDescent="0.3">
      <c r="A4" s="45"/>
      <c r="B4" s="45"/>
      <c r="C4" s="45"/>
      <c r="D4" s="45"/>
      <c r="E4" s="8" t="s">
        <v>1068</v>
      </c>
      <c r="F4" s="8" t="s">
        <v>1289</v>
      </c>
      <c r="G4" s="8" t="s">
        <v>1068</v>
      </c>
      <c r="H4" s="8" t="s">
        <v>1289</v>
      </c>
      <c r="I4" s="8" t="s">
        <v>1068</v>
      </c>
      <c r="J4" s="8" t="s">
        <v>1289</v>
      </c>
      <c r="K4" s="8" t="s">
        <v>1068</v>
      </c>
      <c r="L4" s="8" t="s">
        <v>1289</v>
      </c>
      <c r="M4" s="45"/>
      <c r="N4" s="46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5"/>
    </row>
    <row r="5" spans="1:49" ht="28.5" customHeight="1" x14ac:dyDescent="0.3">
      <c r="A5" s="19" t="s">
        <v>733</v>
      </c>
      <c r="B5" s="5"/>
      <c r="C5" s="5"/>
      <c r="D5" s="5" t="s">
        <v>823</v>
      </c>
      <c r="E5" s="5" t="s">
        <v>823</v>
      </c>
      <c r="F5" s="5" t="s">
        <v>823</v>
      </c>
      <c r="G5" s="5" t="s">
        <v>823</v>
      </c>
      <c r="H5" s="5" t="s">
        <v>823</v>
      </c>
      <c r="I5" s="5" t="s">
        <v>823</v>
      </c>
      <c r="J5" s="5" t="s">
        <v>823</v>
      </c>
      <c r="K5" s="5" t="s">
        <v>823</v>
      </c>
      <c r="L5" s="5" t="s">
        <v>823</v>
      </c>
      <c r="M5" s="5" t="s">
        <v>823</v>
      </c>
      <c r="N5" s="2" t="s">
        <v>823</v>
      </c>
      <c r="Q5" s="14" t="s">
        <v>1272</v>
      </c>
      <c r="R5" s="31">
        <v>1526512</v>
      </c>
      <c r="S5" s="31">
        <v>0</v>
      </c>
      <c r="AH5" s="14"/>
      <c r="AW5" s="5" t="s">
        <v>823</v>
      </c>
    </row>
    <row r="6" spans="1:49" ht="28.5" customHeight="1" x14ac:dyDescent="0.3">
      <c r="A6" s="5" t="s">
        <v>1287</v>
      </c>
      <c r="B6" s="29" t="s">
        <v>1186</v>
      </c>
      <c r="C6" s="5" t="s">
        <v>547</v>
      </c>
      <c r="D6" s="10">
        <v>1</v>
      </c>
      <c r="E6" s="28">
        <f>TRUNC(TRUNC(일위대가목록!E4,0)*AV6/100,0)</f>
        <v>0</v>
      </c>
      <c r="F6" s="23">
        <f t="shared" ref="F6:F28" si="0">TRUNC(D6*E6,0)</f>
        <v>0</v>
      </c>
      <c r="G6" s="28">
        <f>TRUNC(TRUNC(일위대가목록!F4,0)*AV6/100,0)</f>
        <v>0</v>
      </c>
      <c r="H6" s="23">
        <f t="shared" ref="H6:H28" si="1">TRUNC(D6*G6,0)</f>
        <v>0</v>
      </c>
      <c r="I6" s="28">
        <f>TRUNC(TRUNC(일위대가목록!G4,0)*AV6/100,0)</f>
        <v>1288284</v>
      </c>
      <c r="J6" s="23">
        <f t="shared" ref="J6:J28" si="2">TRUNC(D6*I6,0)</f>
        <v>1288284</v>
      </c>
      <c r="K6" s="28">
        <f t="shared" ref="K6:K28" si="3">TRUNC(E6+G6+I6,0)</f>
        <v>1288284</v>
      </c>
      <c r="L6" s="23">
        <f t="shared" ref="L6:L28" si="4">TRUNC(F6+H6+J6,0)</f>
        <v>1288284</v>
      </c>
      <c r="M6" s="29" t="s">
        <v>823</v>
      </c>
      <c r="N6" s="13" t="str">
        <f>HYPERLINK("#일위대가목록!A4", "AAB215102010")</f>
        <v>AAB215102010</v>
      </c>
      <c r="O6" s="14" t="s">
        <v>823</v>
      </c>
      <c r="P6" s="14" t="s">
        <v>823</v>
      </c>
      <c r="Q6" s="14" t="s">
        <v>1272</v>
      </c>
      <c r="R6" s="31">
        <v>1526512</v>
      </c>
      <c r="S6" s="31">
        <v>10</v>
      </c>
      <c r="T6" s="14" t="s">
        <v>904</v>
      </c>
      <c r="U6" s="14" t="s">
        <v>510</v>
      </c>
      <c r="V6" s="14" t="s">
        <v>510</v>
      </c>
      <c r="W6" s="14" t="s">
        <v>823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60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14"/>
      <c r="AV6" s="31">
        <v>100</v>
      </c>
      <c r="AW6" s="3" t="s">
        <v>646</v>
      </c>
    </row>
    <row r="7" spans="1:49" ht="28.5" customHeight="1" x14ac:dyDescent="0.3">
      <c r="A7" s="5" t="s">
        <v>666</v>
      </c>
      <c r="B7" s="29" t="s">
        <v>1186</v>
      </c>
      <c r="C7" s="5" t="s">
        <v>547</v>
      </c>
      <c r="D7" s="10">
        <v>1</v>
      </c>
      <c r="E7" s="28">
        <f>TRUNC(TRUNC(일위대가목록!E5,0)*AV7/100,0)</f>
        <v>0</v>
      </c>
      <c r="F7" s="23">
        <f t="shared" si="0"/>
        <v>0</v>
      </c>
      <c r="G7" s="28">
        <f>TRUNC(TRUNC(일위대가목록!F5,0)*AV7/100,0)</f>
        <v>0</v>
      </c>
      <c r="H7" s="23">
        <f t="shared" si="1"/>
        <v>0</v>
      </c>
      <c r="I7" s="28">
        <f>TRUNC(TRUNC(일위대가목록!G5,0)*AV7/100,0)</f>
        <v>1169402</v>
      </c>
      <c r="J7" s="23">
        <f t="shared" si="2"/>
        <v>1169402</v>
      </c>
      <c r="K7" s="28">
        <f t="shared" si="3"/>
        <v>1169402</v>
      </c>
      <c r="L7" s="23">
        <f t="shared" si="4"/>
        <v>1169402</v>
      </c>
      <c r="M7" s="29" t="s">
        <v>823</v>
      </c>
      <c r="N7" s="13" t="str">
        <f>HYPERLINK("#일위대가목록!A5", "AAB222402010")</f>
        <v>AAB222402010</v>
      </c>
      <c r="O7" s="14" t="s">
        <v>823</v>
      </c>
      <c r="P7" s="14" t="s">
        <v>823</v>
      </c>
      <c r="Q7" s="14" t="s">
        <v>1272</v>
      </c>
      <c r="R7" s="31">
        <v>1526512</v>
      </c>
      <c r="S7" s="31">
        <v>20</v>
      </c>
      <c r="T7" s="14" t="s">
        <v>904</v>
      </c>
      <c r="U7" s="14" t="s">
        <v>510</v>
      </c>
      <c r="V7" s="14" t="s">
        <v>510</v>
      </c>
      <c r="W7" s="14" t="s">
        <v>823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60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14"/>
      <c r="AV7" s="31">
        <v>100</v>
      </c>
      <c r="AW7" s="3" t="s">
        <v>853</v>
      </c>
    </row>
    <row r="8" spans="1:49" ht="28.5" customHeight="1" x14ac:dyDescent="0.3">
      <c r="A8" s="5" t="s">
        <v>115</v>
      </c>
      <c r="B8" s="29" t="s">
        <v>1163</v>
      </c>
      <c r="C8" s="5" t="s">
        <v>1187</v>
      </c>
      <c r="D8" s="10">
        <v>13</v>
      </c>
      <c r="E8" s="28">
        <f>TRUNC(TRUNC(일위대가목록!E6,0)*AV8/100,0)</f>
        <v>0</v>
      </c>
      <c r="F8" s="23">
        <f t="shared" si="0"/>
        <v>0</v>
      </c>
      <c r="G8" s="28">
        <f>TRUNC(TRUNC(일위대가목록!F6,0)*AV8/100,0)</f>
        <v>0</v>
      </c>
      <c r="H8" s="23">
        <f t="shared" si="1"/>
        <v>0</v>
      </c>
      <c r="I8" s="28">
        <f>TRUNC(TRUNC(일위대가목록!G6,0)*AV8/100,0)</f>
        <v>47535</v>
      </c>
      <c r="J8" s="23">
        <f t="shared" si="2"/>
        <v>617955</v>
      </c>
      <c r="K8" s="28">
        <f t="shared" si="3"/>
        <v>47535</v>
      </c>
      <c r="L8" s="23">
        <f t="shared" si="4"/>
        <v>617955</v>
      </c>
      <c r="M8" s="29" t="s">
        <v>823</v>
      </c>
      <c r="N8" s="13" t="str">
        <f>HYPERLINK("#일위대가목록!A6", "AAA162040003")</f>
        <v>AAA162040003</v>
      </c>
      <c r="O8" s="14" t="s">
        <v>823</v>
      </c>
      <c r="P8" s="14" t="s">
        <v>823</v>
      </c>
      <c r="Q8" s="14" t="s">
        <v>1272</v>
      </c>
      <c r="R8" s="31">
        <v>1526512</v>
      </c>
      <c r="S8" s="31">
        <v>30</v>
      </c>
      <c r="T8" s="14" t="s">
        <v>904</v>
      </c>
      <c r="U8" s="14" t="s">
        <v>510</v>
      </c>
      <c r="V8" s="14" t="s">
        <v>510</v>
      </c>
      <c r="W8" s="14" t="s">
        <v>823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60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14"/>
      <c r="AV8" s="31">
        <v>100</v>
      </c>
      <c r="AW8" s="3" t="s">
        <v>347</v>
      </c>
    </row>
    <row r="9" spans="1:49" ht="28.5" customHeight="1" x14ac:dyDescent="0.3">
      <c r="A9" s="5" t="s">
        <v>1076</v>
      </c>
      <c r="B9" s="29" t="s">
        <v>98</v>
      </c>
      <c r="C9" s="5" t="s">
        <v>547</v>
      </c>
      <c r="D9" s="10">
        <v>1</v>
      </c>
      <c r="E9" s="28">
        <f>TRUNC(TRUNC(일위대가목록!E7,0)*AV9/100,0)</f>
        <v>0</v>
      </c>
      <c r="F9" s="23">
        <f t="shared" si="0"/>
        <v>0</v>
      </c>
      <c r="G9" s="28">
        <f>TRUNC(TRUNC(일위대가목록!F7,0)*AV9/100,0)</f>
        <v>0</v>
      </c>
      <c r="H9" s="23">
        <f t="shared" si="1"/>
        <v>0</v>
      </c>
      <c r="I9" s="28">
        <f>TRUNC(TRUNC(일위대가목록!G7,0)*AV9/100,0)</f>
        <v>753290</v>
      </c>
      <c r="J9" s="23">
        <f t="shared" si="2"/>
        <v>753290</v>
      </c>
      <c r="K9" s="28">
        <f t="shared" si="3"/>
        <v>753290</v>
      </c>
      <c r="L9" s="23">
        <f t="shared" si="4"/>
        <v>753290</v>
      </c>
      <c r="M9" s="29" t="s">
        <v>823</v>
      </c>
      <c r="N9" s="13" t="str">
        <f>HYPERLINK("#일위대가목록!A7", "AAA164101003")</f>
        <v>AAA164101003</v>
      </c>
      <c r="O9" s="14" t="s">
        <v>823</v>
      </c>
      <c r="P9" s="14" t="s">
        <v>823</v>
      </c>
      <c r="Q9" s="14" t="s">
        <v>1272</v>
      </c>
      <c r="R9" s="31">
        <v>1526512</v>
      </c>
      <c r="S9" s="31">
        <v>40</v>
      </c>
      <c r="T9" s="14" t="s">
        <v>904</v>
      </c>
      <c r="U9" s="14" t="s">
        <v>510</v>
      </c>
      <c r="V9" s="14" t="s">
        <v>510</v>
      </c>
      <c r="W9" s="14" t="s">
        <v>823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60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14"/>
      <c r="AV9" s="31">
        <v>100</v>
      </c>
      <c r="AW9" s="3" t="s">
        <v>1073</v>
      </c>
    </row>
    <row r="10" spans="1:49" ht="28.5" customHeight="1" x14ac:dyDescent="0.3">
      <c r="A10" s="5" t="s">
        <v>369</v>
      </c>
      <c r="B10" s="29" t="s">
        <v>78</v>
      </c>
      <c r="C10" s="5" t="s">
        <v>1004</v>
      </c>
      <c r="D10" s="10">
        <v>342.09</v>
      </c>
      <c r="E10" s="28">
        <f>TRUNC(TRUNC(일위대가목록!E8,0)*AV10/100,0)</f>
        <v>8283</v>
      </c>
      <c r="F10" s="23">
        <f t="shared" si="0"/>
        <v>2833531</v>
      </c>
      <c r="G10" s="28">
        <f>TRUNC(TRUNC(일위대가목록!F8,0)*AV10/100,0)</f>
        <v>12894</v>
      </c>
      <c r="H10" s="23">
        <f t="shared" si="1"/>
        <v>4410908</v>
      </c>
      <c r="I10" s="28">
        <f>TRUNC(TRUNC(일위대가목록!G8,0)*AV10/100,0)</f>
        <v>0</v>
      </c>
      <c r="J10" s="23">
        <f t="shared" si="2"/>
        <v>0</v>
      </c>
      <c r="K10" s="28">
        <f t="shared" si="3"/>
        <v>21177</v>
      </c>
      <c r="L10" s="23">
        <f t="shared" si="4"/>
        <v>7244439</v>
      </c>
      <c r="M10" s="29"/>
      <c r="N10" s="13" t="str">
        <f>HYPERLINK("#일위대가목록!A8", "AAA310640212")</f>
        <v>AAA310640212</v>
      </c>
      <c r="O10" s="14" t="s">
        <v>823</v>
      </c>
      <c r="P10" s="14" t="s">
        <v>823</v>
      </c>
      <c r="Q10" s="14" t="s">
        <v>1272</v>
      </c>
      <c r="R10" s="31">
        <v>1526512</v>
      </c>
      <c r="S10" s="31">
        <v>50</v>
      </c>
      <c r="T10" s="14" t="s">
        <v>904</v>
      </c>
      <c r="U10" s="14" t="s">
        <v>510</v>
      </c>
      <c r="V10" s="14" t="s">
        <v>510</v>
      </c>
      <c r="W10" s="14" t="s">
        <v>823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60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14"/>
      <c r="AV10" s="31">
        <v>100</v>
      </c>
      <c r="AW10" s="3" t="s">
        <v>55</v>
      </c>
    </row>
    <row r="11" spans="1:49" ht="28.5" customHeight="1" x14ac:dyDescent="0.3">
      <c r="A11" s="5" t="s">
        <v>564</v>
      </c>
      <c r="B11" s="29" t="s">
        <v>1277</v>
      </c>
      <c r="C11" s="5" t="s">
        <v>130</v>
      </c>
      <c r="D11" s="10">
        <v>4</v>
      </c>
      <c r="E11" s="28">
        <f>TRUNC(TRUNC(일위대가목록!E9,0)*AV11/100,0)</f>
        <v>17430</v>
      </c>
      <c r="F11" s="23">
        <f t="shared" si="0"/>
        <v>69720</v>
      </c>
      <c r="G11" s="28">
        <f>TRUNC(TRUNC(일위대가목록!F9,0)*AV11/100,0)</f>
        <v>0</v>
      </c>
      <c r="H11" s="23">
        <f t="shared" si="1"/>
        <v>0</v>
      </c>
      <c r="I11" s="28">
        <f>TRUNC(TRUNC(일위대가목록!G9,0)*AV11/100,0)</f>
        <v>0</v>
      </c>
      <c r="J11" s="23">
        <f t="shared" si="2"/>
        <v>0</v>
      </c>
      <c r="K11" s="28">
        <f t="shared" si="3"/>
        <v>17430</v>
      </c>
      <c r="L11" s="23">
        <f t="shared" si="4"/>
        <v>69720</v>
      </c>
      <c r="M11" s="29"/>
      <c r="N11" s="13" t="str">
        <f>HYPERLINK("#일위대가목록!A9", "AAA310640521")</f>
        <v>AAA310640521</v>
      </c>
      <c r="O11" s="14" t="s">
        <v>823</v>
      </c>
      <c r="P11" s="14" t="s">
        <v>823</v>
      </c>
      <c r="Q11" s="14" t="s">
        <v>1272</v>
      </c>
      <c r="R11" s="31">
        <v>1526512</v>
      </c>
      <c r="S11" s="31">
        <v>60</v>
      </c>
      <c r="T11" s="14" t="s">
        <v>904</v>
      </c>
      <c r="U11" s="14" t="s">
        <v>510</v>
      </c>
      <c r="V11" s="14" t="s">
        <v>510</v>
      </c>
      <c r="W11" s="14" t="s">
        <v>823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60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14"/>
      <c r="AV11" s="31">
        <v>100</v>
      </c>
      <c r="AW11" s="3" t="s">
        <v>1223</v>
      </c>
    </row>
    <row r="12" spans="1:49" ht="28.5" customHeight="1" x14ac:dyDescent="0.3">
      <c r="A12" s="5" t="s">
        <v>934</v>
      </c>
      <c r="B12" s="29" t="s">
        <v>1112</v>
      </c>
      <c r="C12" s="5" t="s">
        <v>1086</v>
      </c>
      <c r="D12" s="10">
        <v>8</v>
      </c>
      <c r="E12" s="28">
        <f>TRUNC(TRUNC(단가대비표!U67,0)*AV12/100,0)</f>
        <v>42080</v>
      </c>
      <c r="F12" s="23">
        <f t="shared" si="0"/>
        <v>336640</v>
      </c>
      <c r="G12" s="28">
        <f>TRUNC(TRUNC(단가대비표!V67,0)*AV12/100,0)</f>
        <v>0</v>
      </c>
      <c r="H12" s="23">
        <f t="shared" si="1"/>
        <v>0</v>
      </c>
      <c r="I12" s="28">
        <f>TRUNC(TRUNC(단가대비표!AE67,0)*AV12/100,0)</f>
        <v>0</v>
      </c>
      <c r="J12" s="23">
        <f t="shared" si="2"/>
        <v>0</v>
      </c>
      <c r="K12" s="28">
        <f t="shared" si="3"/>
        <v>42080</v>
      </c>
      <c r="L12" s="23">
        <f t="shared" si="4"/>
        <v>336640</v>
      </c>
      <c r="M12" s="29" t="s">
        <v>823</v>
      </c>
      <c r="N12" s="13" t="str">
        <f>HYPERLINK("#단가대비표!B67", "4619160120096948")</f>
        <v>4619160120096948</v>
      </c>
      <c r="O12" s="14" t="s">
        <v>823</v>
      </c>
      <c r="P12" s="14" t="s">
        <v>823</v>
      </c>
      <c r="Q12" s="14" t="s">
        <v>1272</v>
      </c>
      <c r="R12" s="31">
        <v>1526512</v>
      </c>
      <c r="S12" s="31">
        <v>70</v>
      </c>
      <c r="T12" s="14" t="s">
        <v>510</v>
      </c>
      <c r="U12" s="14" t="s">
        <v>510</v>
      </c>
      <c r="V12" s="14" t="s">
        <v>904</v>
      </c>
      <c r="W12" s="14" t="s">
        <v>823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60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14"/>
      <c r="AV12" s="31">
        <v>100</v>
      </c>
      <c r="AW12" s="3" t="s">
        <v>491</v>
      </c>
    </row>
    <row r="13" spans="1:49" ht="28.5" customHeight="1" x14ac:dyDescent="0.3">
      <c r="A13" s="5" t="s">
        <v>0</v>
      </c>
      <c r="B13" s="29" t="s">
        <v>487</v>
      </c>
      <c r="C13" s="5" t="s">
        <v>1004</v>
      </c>
      <c r="D13" s="10">
        <v>10.24</v>
      </c>
      <c r="E13" s="28">
        <f>TRUNC(TRUNC(단가대비표!U68,0)*AV13/100,0)</f>
        <v>41983</v>
      </c>
      <c r="F13" s="23">
        <f t="shared" si="0"/>
        <v>429905</v>
      </c>
      <c r="G13" s="28">
        <f>TRUNC(TRUNC(단가대비표!V68,0)*AV13/100,0)</f>
        <v>0</v>
      </c>
      <c r="H13" s="23">
        <f t="shared" si="1"/>
        <v>0</v>
      </c>
      <c r="I13" s="28">
        <f>TRUNC(TRUNC(단가대비표!AE68,0)*AV13/100,0)</f>
        <v>0</v>
      </c>
      <c r="J13" s="23">
        <f t="shared" si="2"/>
        <v>0</v>
      </c>
      <c r="K13" s="28">
        <f t="shared" si="3"/>
        <v>41983</v>
      </c>
      <c r="L13" s="23">
        <f t="shared" si="4"/>
        <v>429905</v>
      </c>
      <c r="M13" s="29"/>
      <c r="N13" s="13" t="str">
        <f>HYPERLINK("#단가대비표!B68", "8118005000000224")</f>
        <v>8118005000000224</v>
      </c>
      <c r="O13" s="14" t="s">
        <v>823</v>
      </c>
      <c r="P13" s="14" t="s">
        <v>823</v>
      </c>
      <c r="Q13" s="14" t="s">
        <v>1272</v>
      </c>
      <c r="R13" s="31">
        <v>1526512</v>
      </c>
      <c r="S13" s="31">
        <v>80</v>
      </c>
      <c r="T13" s="14" t="s">
        <v>510</v>
      </c>
      <c r="U13" s="14" t="s">
        <v>510</v>
      </c>
      <c r="V13" s="14" t="s">
        <v>904</v>
      </c>
      <c r="W13" s="14" t="s">
        <v>823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60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14"/>
      <c r="AV13" s="31">
        <v>100</v>
      </c>
      <c r="AW13" s="3" t="s">
        <v>667</v>
      </c>
    </row>
    <row r="14" spans="1:49" ht="28.5" customHeight="1" x14ac:dyDescent="0.3">
      <c r="A14" s="5" t="s">
        <v>374</v>
      </c>
      <c r="B14" s="29" t="s">
        <v>682</v>
      </c>
      <c r="C14" s="5" t="s">
        <v>1004</v>
      </c>
      <c r="D14" s="10">
        <v>104.4</v>
      </c>
      <c r="E14" s="28">
        <f>TRUNC(TRUNC(일위대가목록!E10,0)*AV14/100,0)</f>
        <v>2237</v>
      </c>
      <c r="F14" s="23">
        <f t="shared" si="0"/>
        <v>233542</v>
      </c>
      <c r="G14" s="28">
        <f>TRUNC(TRUNC(일위대가목록!F10,0)*AV14/100,0)</f>
        <v>14909</v>
      </c>
      <c r="H14" s="23">
        <f t="shared" si="1"/>
        <v>1556499</v>
      </c>
      <c r="I14" s="28">
        <f>TRUNC(TRUNC(일위대가목록!G10,0)*AV14/100,0)</f>
        <v>236</v>
      </c>
      <c r="J14" s="23">
        <f t="shared" si="2"/>
        <v>24638</v>
      </c>
      <c r="K14" s="28">
        <f t="shared" si="3"/>
        <v>17382</v>
      </c>
      <c r="L14" s="23">
        <f t="shared" si="4"/>
        <v>1814679</v>
      </c>
      <c r="M14" s="29"/>
      <c r="N14" s="13" t="str">
        <f>HYPERLINK("#일위대가목록!A10", "AAA310201003")</f>
        <v>AAA310201003</v>
      </c>
      <c r="O14" s="14" t="s">
        <v>823</v>
      </c>
      <c r="P14" s="14" t="s">
        <v>823</v>
      </c>
      <c r="Q14" s="14" t="s">
        <v>1272</v>
      </c>
      <c r="R14" s="31">
        <v>1526512</v>
      </c>
      <c r="S14" s="31">
        <v>90</v>
      </c>
      <c r="T14" s="14" t="s">
        <v>904</v>
      </c>
      <c r="U14" s="14" t="s">
        <v>510</v>
      </c>
      <c r="V14" s="14" t="s">
        <v>510</v>
      </c>
      <c r="W14" s="14" t="s">
        <v>823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60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14"/>
      <c r="AV14" s="31">
        <v>100</v>
      </c>
      <c r="AW14" s="3" t="s">
        <v>134</v>
      </c>
    </row>
    <row r="15" spans="1:49" ht="28.5" customHeight="1" x14ac:dyDescent="0.3">
      <c r="A15" s="5" t="s">
        <v>1074</v>
      </c>
      <c r="B15" s="29" t="s">
        <v>280</v>
      </c>
      <c r="C15" s="5" t="s">
        <v>1001</v>
      </c>
      <c r="D15" s="10">
        <v>3</v>
      </c>
      <c r="E15" s="28">
        <f>TRUNC(TRUNC(일위대가목록!E11,0)*AV15/100,0)</f>
        <v>58846</v>
      </c>
      <c r="F15" s="23">
        <f t="shared" si="0"/>
        <v>176538</v>
      </c>
      <c r="G15" s="28">
        <f>TRUNC(TRUNC(일위대가목록!F11,0)*AV15/100,0)</f>
        <v>155690</v>
      </c>
      <c r="H15" s="23">
        <f t="shared" si="1"/>
        <v>467070</v>
      </c>
      <c r="I15" s="28">
        <f>TRUNC(TRUNC(일위대가목록!G11,0)*AV15/100,0)</f>
        <v>0</v>
      </c>
      <c r="J15" s="23">
        <f t="shared" si="2"/>
        <v>0</v>
      </c>
      <c r="K15" s="28">
        <f t="shared" si="3"/>
        <v>214536</v>
      </c>
      <c r="L15" s="23">
        <f t="shared" si="4"/>
        <v>643608</v>
      </c>
      <c r="M15" s="29" t="s">
        <v>823</v>
      </c>
      <c r="N15" s="13" t="str">
        <f>HYPERLINK("#일위대가목록!A11", "AAA310453000")</f>
        <v>AAA310453000</v>
      </c>
      <c r="O15" s="14" t="s">
        <v>823</v>
      </c>
      <c r="P15" s="14" t="s">
        <v>823</v>
      </c>
      <c r="Q15" s="14" t="s">
        <v>1272</v>
      </c>
      <c r="R15" s="31">
        <v>1526512</v>
      </c>
      <c r="S15" s="31">
        <v>100</v>
      </c>
      <c r="T15" s="14" t="s">
        <v>904</v>
      </c>
      <c r="U15" s="14" t="s">
        <v>510</v>
      </c>
      <c r="V15" s="14" t="s">
        <v>510</v>
      </c>
      <c r="W15" s="14" t="s">
        <v>823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60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14"/>
      <c r="AV15" s="31">
        <v>100</v>
      </c>
      <c r="AW15" s="3" t="s">
        <v>1153</v>
      </c>
    </row>
    <row r="16" spans="1:49" ht="28.5" customHeight="1" x14ac:dyDescent="0.3">
      <c r="A16" s="5" t="s">
        <v>791</v>
      </c>
      <c r="B16" s="29" t="s">
        <v>550</v>
      </c>
      <c r="C16" s="5" t="s">
        <v>835</v>
      </c>
      <c r="D16" s="10">
        <v>162.59</v>
      </c>
      <c r="E16" s="28">
        <f>TRUNC(TRUNC(일위대가목록!E12,0)*AV16/100,0)</f>
        <v>4727</v>
      </c>
      <c r="F16" s="23">
        <f t="shared" si="0"/>
        <v>768562</v>
      </c>
      <c r="G16" s="28">
        <f>TRUNC(TRUNC(일위대가목록!F12,0)*AV16/100,0)</f>
        <v>18985</v>
      </c>
      <c r="H16" s="23">
        <f t="shared" si="1"/>
        <v>3086771</v>
      </c>
      <c r="I16" s="28">
        <f>TRUNC(TRUNC(일위대가목록!G12,0)*AV16/100,0)</f>
        <v>0</v>
      </c>
      <c r="J16" s="23">
        <f t="shared" si="2"/>
        <v>0</v>
      </c>
      <c r="K16" s="28">
        <f t="shared" si="3"/>
        <v>23712</v>
      </c>
      <c r="L16" s="23">
        <f t="shared" si="4"/>
        <v>3855333</v>
      </c>
      <c r="M16" s="29" t="s">
        <v>823</v>
      </c>
      <c r="N16" s="13" t="str">
        <f>HYPERLINK("#일위대가목록!A12", "AAA310540305")</f>
        <v>AAA310540305</v>
      </c>
      <c r="O16" s="14" t="s">
        <v>823</v>
      </c>
      <c r="P16" s="14" t="s">
        <v>823</v>
      </c>
      <c r="Q16" s="14" t="s">
        <v>1272</v>
      </c>
      <c r="R16" s="31">
        <v>1526512</v>
      </c>
      <c r="S16" s="31">
        <v>110</v>
      </c>
      <c r="T16" s="14" t="s">
        <v>904</v>
      </c>
      <c r="U16" s="14" t="s">
        <v>510</v>
      </c>
      <c r="V16" s="14" t="s">
        <v>510</v>
      </c>
      <c r="W16" s="14" t="s">
        <v>823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60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14"/>
      <c r="AV16" s="31">
        <v>100</v>
      </c>
      <c r="AW16" s="3" t="s">
        <v>350</v>
      </c>
    </row>
    <row r="17" spans="1:49" ht="28.5" customHeight="1" x14ac:dyDescent="0.3">
      <c r="A17" s="5" t="s">
        <v>571</v>
      </c>
      <c r="B17" s="29" t="s">
        <v>852</v>
      </c>
      <c r="C17" s="5" t="s">
        <v>1004</v>
      </c>
      <c r="D17" s="10">
        <v>280</v>
      </c>
      <c r="E17" s="28">
        <f>TRUNC(TRUNC(일위대가목록!E13,0)*AV17/100,0)</f>
        <v>0</v>
      </c>
      <c r="F17" s="23">
        <f t="shared" si="0"/>
        <v>0</v>
      </c>
      <c r="G17" s="28">
        <f>TRUNC(TRUNC(일위대가목록!F13,0)*AV17/100,0)</f>
        <v>8551</v>
      </c>
      <c r="H17" s="23">
        <f t="shared" si="1"/>
        <v>2394280</v>
      </c>
      <c r="I17" s="28">
        <f>TRUNC(TRUNC(일위대가목록!G13,0)*AV17/100,0)</f>
        <v>0</v>
      </c>
      <c r="J17" s="23">
        <f t="shared" si="2"/>
        <v>0</v>
      </c>
      <c r="K17" s="28">
        <f t="shared" si="3"/>
        <v>8551</v>
      </c>
      <c r="L17" s="23">
        <f t="shared" si="4"/>
        <v>2394280</v>
      </c>
      <c r="M17" s="29"/>
      <c r="N17" s="13" t="str">
        <f>HYPERLINK("#일위대가목록!A13", "AAD16000020S")</f>
        <v>AAD16000020S</v>
      </c>
      <c r="O17" s="14" t="s">
        <v>823</v>
      </c>
      <c r="P17" s="14" t="s">
        <v>823</v>
      </c>
      <c r="Q17" s="14" t="s">
        <v>1272</v>
      </c>
      <c r="R17" s="31">
        <v>1526512</v>
      </c>
      <c r="S17" s="31">
        <v>120</v>
      </c>
      <c r="T17" s="14" t="s">
        <v>904</v>
      </c>
      <c r="U17" s="14" t="s">
        <v>510</v>
      </c>
      <c r="V17" s="14" t="s">
        <v>510</v>
      </c>
      <c r="W17" s="14" t="s">
        <v>823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60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14"/>
      <c r="AV17" s="31">
        <v>100</v>
      </c>
      <c r="AW17" s="3" t="s">
        <v>1168</v>
      </c>
    </row>
    <row r="18" spans="1:49" ht="28.5" customHeight="1" x14ac:dyDescent="0.3">
      <c r="A18" s="5" t="s">
        <v>90</v>
      </c>
      <c r="B18" s="29" t="s">
        <v>539</v>
      </c>
      <c r="C18" s="5" t="s">
        <v>1167</v>
      </c>
      <c r="D18" s="10">
        <v>10</v>
      </c>
      <c r="E18" s="28">
        <f>TRUNC(TRUNC(일위대가목록!E14,0)*AV18/100,0)</f>
        <v>0</v>
      </c>
      <c r="F18" s="23">
        <f t="shared" si="0"/>
        <v>0</v>
      </c>
      <c r="G18" s="28">
        <f>TRUNC(TRUNC(일위대가목록!F14,0)*AV18/100,0)</f>
        <v>342074</v>
      </c>
      <c r="H18" s="23">
        <f t="shared" si="1"/>
        <v>3420740</v>
      </c>
      <c r="I18" s="28">
        <f>TRUNC(TRUNC(일위대가목록!G14,0)*AV18/100,0)</f>
        <v>0</v>
      </c>
      <c r="J18" s="23">
        <f t="shared" si="2"/>
        <v>0</v>
      </c>
      <c r="K18" s="28">
        <f t="shared" si="3"/>
        <v>342074</v>
      </c>
      <c r="L18" s="23">
        <f t="shared" si="4"/>
        <v>3420740</v>
      </c>
      <c r="M18" s="29"/>
      <c r="N18" s="13" t="str">
        <f>HYPERLINK("#일위대가목록!A14", "CAD162200301")</f>
        <v>CAD162200301</v>
      </c>
      <c r="O18" s="14" t="s">
        <v>823</v>
      </c>
      <c r="P18" s="14" t="s">
        <v>823</v>
      </c>
      <c r="Q18" s="14" t="s">
        <v>1272</v>
      </c>
      <c r="R18" s="31">
        <v>1526512</v>
      </c>
      <c r="S18" s="31">
        <v>130</v>
      </c>
      <c r="T18" s="14" t="s">
        <v>904</v>
      </c>
      <c r="U18" s="14" t="s">
        <v>510</v>
      </c>
      <c r="V18" s="14" t="s">
        <v>510</v>
      </c>
      <c r="W18" s="14" t="s">
        <v>823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60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14"/>
      <c r="AV18" s="31">
        <v>100</v>
      </c>
      <c r="AW18" s="3" t="s">
        <v>413</v>
      </c>
    </row>
    <row r="19" spans="1:49" ht="28.5" customHeight="1" x14ac:dyDescent="0.3">
      <c r="A19" s="5" t="s">
        <v>697</v>
      </c>
      <c r="B19" s="29" t="s">
        <v>930</v>
      </c>
      <c r="C19" s="5" t="s">
        <v>1004</v>
      </c>
      <c r="D19" s="10">
        <v>37.700000000000003</v>
      </c>
      <c r="E19" s="28">
        <f>TRUNC(TRUNC(일위대가목록!E15,0)*AV19/100,0)</f>
        <v>31866</v>
      </c>
      <c r="F19" s="23">
        <f t="shared" si="0"/>
        <v>1201348</v>
      </c>
      <c r="G19" s="28">
        <f>TRUNC(TRUNC(일위대가목록!F15,0)*AV19/100,0)</f>
        <v>34074</v>
      </c>
      <c r="H19" s="23">
        <f t="shared" si="1"/>
        <v>1284589</v>
      </c>
      <c r="I19" s="28">
        <f>TRUNC(TRUNC(일위대가목록!G15,0)*AV19/100,0)</f>
        <v>0</v>
      </c>
      <c r="J19" s="23">
        <f t="shared" si="2"/>
        <v>0</v>
      </c>
      <c r="K19" s="28">
        <f t="shared" si="3"/>
        <v>65940</v>
      </c>
      <c r="L19" s="23">
        <f t="shared" si="4"/>
        <v>2485937</v>
      </c>
      <c r="M19" s="29"/>
      <c r="N19" s="13" t="str">
        <f>HYPERLINK("#일위대가목록!A15", "AOJ415001101")</f>
        <v>AOJ415001101</v>
      </c>
      <c r="O19" s="14" t="s">
        <v>823</v>
      </c>
      <c r="P19" s="14" t="s">
        <v>823</v>
      </c>
      <c r="Q19" s="14" t="s">
        <v>1272</v>
      </c>
      <c r="R19" s="31">
        <v>1526512</v>
      </c>
      <c r="S19" s="31">
        <v>140</v>
      </c>
      <c r="T19" s="14" t="s">
        <v>904</v>
      </c>
      <c r="U19" s="14" t="s">
        <v>510</v>
      </c>
      <c r="V19" s="14" t="s">
        <v>510</v>
      </c>
      <c r="W19" s="14" t="s">
        <v>823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60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14"/>
      <c r="AV19" s="31">
        <v>100</v>
      </c>
      <c r="AW19" s="3" t="s">
        <v>544</v>
      </c>
    </row>
    <row r="20" spans="1:49" ht="28.5" customHeight="1" x14ac:dyDescent="0.3">
      <c r="A20" s="5" t="s">
        <v>823</v>
      </c>
      <c r="B20" s="5" t="s">
        <v>823</v>
      </c>
      <c r="C20" s="5" t="s">
        <v>823</v>
      </c>
      <c r="D20" s="23">
        <v>0</v>
      </c>
      <c r="E20" s="28">
        <v>0</v>
      </c>
      <c r="F20" s="23">
        <f t="shared" si="0"/>
        <v>0</v>
      </c>
      <c r="G20" s="28">
        <v>0</v>
      </c>
      <c r="H20" s="23">
        <f t="shared" si="1"/>
        <v>0</v>
      </c>
      <c r="I20" s="28">
        <v>0</v>
      </c>
      <c r="J20" s="23">
        <f t="shared" si="2"/>
        <v>0</v>
      </c>
      <c r="K20" s="28">
        <f t="shared" si="3"/>
        <v>0</v>
      </c>
      <c r="L20" s="23">
        <f t="shared" si="4"/>
        <v>0</v>
      </c>
      <c r="M20" s="5" t="s">
        <v>823</v>
      </c>
      <c r="N20" s="5" t="s">
        <v>823</v>
      </c>
      <c r="O20" s="5" t="s">
        <v>823</v>
      </c>
      <c r="P20" s="5" t="s">
        <v>823</v>
      </c>
      <c r="AU20" s="14"/>
      <c r="AV20" s="31">
        <v>0</v>
      </c>
      <c r="AW20" s="3" t="s">
        <v>823</v>
      </c>
    </row>
    <row r="21" spans="1:49" ht="28.5" customHeight="1" x14ac:dyDescent="0.3">
      <c r="A21" s="5" t="s">
        <v>823</v>
      </c>
      <c r="B21" s="5" t="s">
        <v>823</v>
      </c>
      <c r="C21" s="5" t="s">
        <v>823</v>
      </c>
      <c r="D21" s="23">
        <v>0</v>
      </c>
      <c r="E21" s="28">
        <v>0</v>
      </c>
      <c r="F21" s="23">
        <f t="shared" si="0"/>
        <v>0</v>
      </c>
      <c r="G21" s="28">
        <v>0</v>
      </c>
      <c r="H21" s="23">
        <f t="shared" si="1"/>
        <v>0</v>
      </c>
      <c r="I21" s="28">
        <v>0</v>
      </c>
      <c r="J21" s="23">
        <f t="shared" si="2"/>
        <v>0</v>
      </c>
      <c r="K21" s="28">
        <f t="shared" si="3"/>
        <v>0</v>
      </c>
      <c r="L21" s="23">
        <f t="shared" si="4"/>
        <v>0</v>
      </c>
      <c r="M21" s="5" t="s">
        <v>823</v>
      </c>
      <c r="N21" s="5" t="s">
        <v>823</v>
      </c>
      <c r="O21" s="5" t="s">
        <v>823</v>
      </c>
      <c r="P21" s="5" t="s">
        <v>823</v>
      </c>
      <c r="AU21" s="14"/>
      <c r="AV21" s="31">
        <v>0</v>
      </c>
      <c r="AW21" s="3" t="s">
        <v>823</v>
      </c>
    </row>
    <row r="22" spans="1:49" ht="28.5" customHeight="1" x14ac:dyDescent="0.3">
      <c r="A22" s="5" t="s">
        <v>823</v>
      </c>
      <c r="B22" s="5" t="s">
        <v>823</v>
      </c>
      <c r="C22" s="5" t="s">
        <v>823</v>
      </c>
      <c r="D22" s="23">
        <v>0</v>
      </c>
      <c r="E22" s="28">
        <v>0</v>
      </c>
      <c r="F22" s="23">
        <f t="shared" si="0"/>
        <v>0</v>
      </c>
      <c r="G22" s="28">
        <v>0</v>
      </c>
      <c r="H22" s="23">
        <f t="shared" si="1"/>
        <v>0</v>
      </c>
      <c r="I22" s="28">
        <v>0</v>
      </c>
      <c r="J22" s="23">
        <f t="shared" si="2"/>
        <v>0</v>
      </c>
      <c r="K22" s="28">
        <f t="shared" si="3"/>
        <v>0</v>
      </c>
      <c r="L22" s="23">
        <f t="shared" si="4"/>
        <v>0</v>
      </c>
      <c r="M22" s="5" t="s">
        <v>823</v>
      </c>
      <c r="N22" s="5" t="s">
        <v>823</v>
      </c>
      <c r="O22" s="5" t="s">
        <v>823</v>
      </c>
      <c r="P22" s="5" t="s">
        <v>823</v>
      </c>
      <c r="AU22" s="14"/>
      <c r="AV22" s="31">
        <v>0</v>
      </c>
      <c r="AW22" s="3" t="s">
        <v>823</v>
      </c>
    </row>
    <row r="23" spans="1:49" ht="28.5" customHeight="1" x14ac:dyDescent="0.3">
      <c r="A23" s="5" t="s">
        <v>823</v>
      </c>
      <c r="B23" s="5" t="s">
        <v>823</v>
      </c>
      <c r="C23" s="5" t="s">
        <v>823</v>
      </c>
      <c r="D23" s="23">
        <v>0</v>
      </c>
      <c r="E23" s="28">
        <v>0</v>
      </c>
      <c r="F23" s="23">
        <f t="shared" si="0"/>
        <v>0</v>
      </c>
      <c r="G23" s="28">
        <v>0</v>
      </c>
      <c r="H23" s="23">
        <f t="shared" si="1"/>
        <v>0</v>
      </c>
      <c r="I23" s="28">
        <v>0</v>
      </c>
      <c r="J23" s="23">
        <f t="shared" si="2"/>
        <v>0</v>
      </c>
      <c r="K23" s="28">
        <f t="shared" si="3"/>
        <v>0</v>
      </c>
      <c r="L23" s="23">
        <f t="shared" si="4"/>
        <v>0</v>
      </c>
      <c r="M23" s="5" t="s">
        <v>823</v>
      </c>
      <c r="N23" s="5" t="s">
        <v>823</v>
      </c>
      <c r="O23" s="5" t="s">
        <v>823</v>
      </c>
      <c r="P23" s="5" t="s">
        <v>823</v>
      </c>
      <c r="AU23" s="14"/>
      <c r="AV23" s="31">
        <v>0</v>
      </c>
      <c r="AW23" s="3" t="s">
        <v>823</v>
      </c>
    </row>
    <row r="24" spans="1:49" ht="28.5" customHeight="1" x14ac:dyDescent="0.3">
      <c r="A24" s="5" t="s">
        <v>823</v>
      </c>
      <c r="B24" s="5" t="s">
        <v>823</v>
      </c>
      <c r="C24" s="5" t="s">
        <v>823</v>
      </c>
      <c r="D24" s="23">
        <v>0</v>
      </c>
      <c r="E24" s="28">
        <v>0</v>
      </c>
      <c r="F24" s="23">
        <f t="shared" si="0"/>
        <v>0</v>
      </c>
      <c r="G24" s="28">
        <v>0</v>
      </c>
      <c r="H24" s="23">
        <f t="shared" si="1"/>
        <v>0</v>
      </c>
      <c r="I24" s="28">
        <v>0</v>
      </c>
      <c r="J24" s="23">
        <f t="shared" si="2"/>
        <v>0</v>
      </c>
      <c r="K24" s="28">
        <f t="shared" si="3"/>
        <v>0</v>
      </c>
      <c r="L24" s="23">
        <f t="shared" si="4"/>
        <v>0</v>
      </c>
      <c r="M24" s="5" t="s">
        <v>823</v>
      </c>
      <c r="N24" s="5" t="s">
        <v>823</v>
      </c>
      <c r="O24" s="5" t="s">
        <v>823</v>
      </c>
      <c r="P24" s="5" t="s">
        <v>823</v>
      </c>
      <c r="AU24" s="14"/>
      <c r="AV24" s="31">
        <v>0</v>
      </c>
      <c r="AW24" s="3" t="s">
        <v>823</v>
      </c>
    </row>
    <row r="25" spans="1:49" ht="28.5" customHeight="1" x14ac:dyDescent="0.3">
      <c r="A25" s="5" t="s">
        <v>823</v>
      </c>
      <c r="B25" s="5" t="s">
        <v>823</v>
      </c>
      <c r="C25" s="5" t="s">
        <v>823</v>
      </c>
      <c r="D25" s="23">
        <v>0</v>
      </c>
      <c r="E25" s="28">
        <v>0</v>
      </c>
      <c r="F25" s="23">
        <f t="shared" si="0"/>
        <v>0</v>
      </c>
      <c r="G25" s="28">
        <v>0</v>
      </c>
      <c r="H25" s="23">
        <f t="shared" si="1"/>
        <v>0</v>
      </c>
      <c r="I25" s="28">
        <v>0</v>
      </c>
      <c r="J25" s="23">
        <f t="shared" si="2"/>
        <v>0</v>
      </c>
      <c r="K25" s="28">
        <f t="shared" si="3"/>
        <v>0</v>
      </c>
      <c r="L25" s="23">
        <f t="shared" si="4"/>
        <v>0</v>
      </c>
      <c r="M25" s="5" t="s">
        <v>823</v>
      </c>
      <c r="N25" s="5" t="s">
        <v>823</v>
      </c>
      <c r="O25" s="5" t="s">
        <v>823</v>
      </c>
      <c r="P25" s="5" t="s">
        <v>823</v>
      </c>
      <c r="AU25" s="14"/>
      <c r="AV25" s="31">
        <v>0</v>
      </c>
      <c r="AW25" s="3" t="s">
        <v>823</v>
      </c>
    </row>
    <row r="26" spans="1:49" ht="28.5" customHeight="1" x14ac:dyDescent="0.3">
      <c r="A26" s="5" t="s">
        <v>823</v>
      </c>
      <c r="B26" s="5" t="s">
        <v>823</v>
      </c>
      <c r="C26" s="5" t="s">
        <v>823</v>
      </c>
      <c r="D26" s="23">
        <v>0</v>
      </c>
      <c r="E26" s="28">
        <v>0</v>
      </c>
      <c r="F26" s="23">
        <f t="shared" si="0"/>
        <v>0</v>
      </c>
      <c r="G26" s="28">
        <v>0</v>
      </c>
      <c r="H26" s="23">
        <f t="shared" si="1"/>
        <v>0</v>
      </c>
      <c r="I26" s="28">
        <v>0</v>
      </c>
      <c r="J26" s="23">
        <f t="shared" si="2"/>
        <v>0</v>
      </c>
      <c r="K26" s="28">
        <f t="shared" si="3"/>
        <v>0</v>
      </c>
      <c r="L26" s="23">
        <f t="shared" si="4"/>
        <v>0</v>
      </c>
      <c r="M26" s="5" t="s">
        <v>823</v>
      </c>
      <c r="N26" s="5" t="s">
        <v>823</v>
      </c>
      <c r="O26" s="5" t="s">
        <v>823</v>
      </c>
      <c r="P26" s="5" t="s">
        <v>823</v>
      </c>
      <c r="AU26" s="14"/>
      <c r="AV26" s="31">
        <v>0</v>
      </c>
      <c r="AW26" s="3" t="s">
        <v>823</v>
      </c>
    </row>
    <row r="27" spans="1:49" ht="28.5" customHeight="1" x14ac:dyDescent="0.3">
      <c r="A27" s="5" t="s">
        <v>823</v>
      </c>
      <c r="B27" s="5" t="s">
        <v>823</v>
      </c>
      <c r="C27" s="5" t="s">
        <v>823</v>
      </c>
      <c r="D27" s="23">
        <v>0</v>
      </c>
      <c r="E27" s="28">
        <v>0</v>
      </c>
      <c r="F27" s="23">
        <f t="shared" si="0"/>
        <v>0</v>
      </c>
      <c r="G27" s="28">
        <v>0</v>
      </c>
      <c r="H27" s="23">
        <f t="shared" si="1"/>
        <v>0</v>
      </c>
      <c r="I27" s="28">
        <v>0</v>
      </c>
      <c r="J27" s="23">
        <f t="shared" si="2"/>
        <v>0</v>
      </c>
      <c r="K27" s="28">
        <f t="shared" si="3"/>
        <v>0</v>
      </c>
      <c r="L27" s="23">
        <f t="shared" si="4"/>
        <v>0</v>
      </c>
      <c r="M27" s="5" t="s">
        <v>823</v>
      </c>
      <c r="N27" s="5" t="s">
        <v>823</v>
      </c>
      <c r="O27" s="5" t="s">
        <v>823</v>
      </c>
      <c r="P27" s="5" t="s">
        <v>823</v>
      </c>
      <c r="AU27" s="14"/>
      <c r="AV27" s="31">
        <v>0</v>
      </c>
      <c r="AW27" s="3" t="s">
        <v>823</v>
      </c>
    </row>
    <row r="28" spans="1:49" ht="28.5" customHeight="1" x14ac:dyDescent="0.3">
      <c r="A28" s="5" t="s">
        <v>823</v>
      </c>
      <c r="B28" s="5" t="s">
        <v>823</v>
      </c>
      <c r="C28" s="5" t="s">
        <v>823</v>
      </c>
      <c r="D28" s="23">
        <v>0</v>
      </c>
      <c r="E28" s="28">
        <v>0</v>
      </c>
      <c r="F28" s="23">
        <f t="shared" si="0"/>
        <v>0</v>
      </c>
      <c r="G28" s="28">
        <v>0</v>
      </c>
      <c r="H28" s="23">
        <f t="shared" si="1"/>
        <v>0</v>
      </c>
      <c r="I28" s="28">
        <v>0</v>
      </c>
      <c r="J28" s="23">
        <f t="shared" si="2"/>
        <v>0</v>
      </c>
      <c r="K28" s="28">
        <f t="shared" si="3"/>
        <v>0</v>
      </c>
      <c r="L28" s="23">
        <f t="shared" si="4"/>
        <v>0</v>
      </c>
      <c r="M28" s="5" t="s">
        <v>823</v>
      </c>
      <c r="N28" s="5" t="s">
        <v>823</v>
      </c>
      <c r="O28" s="5" t="s">
        <v>823</v>
      </c>
      <c r="P28" s="5" t="s">
        <v>823</v>
      </c>
      <c r="AU28" s="14"/>
      <c r="AV28" s="31">
        <v>0</v>
      </c>
      <c r="AW28" s="3" t="s">
        <v>823</v>
      </c>
    </row>
    <row r="29" spans="1:49" ht="28.5" customHeight="1" x14ac:dyDescent="0.3">
      <c r="A29" s="5" t="s">
        <v>141</v>
      </c>
      <c r="B29" s="5" t="s">
        <v>823</v>
      </c>
      <c r="C29" s="5" t="s">
        <v>823</v>
      </c>
      <c r="D29" s="5" t="s">
        <v>823</v>
      </c>
      <c r="E29" s="18">
        <v>0</v>
      </c>
      <c r="F29" s="23">
        <f>TRUNC(SUMIF(Q6:Q28, Q5,F6:F28),0)</f>
        <v>6049786</v>
      </c>
      <c r="G29" s="23">
        <v>0</v>
      </c>
      <c r="H29" s="23">
        <f>TRUNC(SUMIF(Q6:Q28, Q5,H6:H28),0)</f>
        <v>16620857</v>
      </c>
      <c r="I29" s="23">
        <v>0</v>
      </c>
      <c r="J29" s="23">
        <f>TRUNC(SUMIF(Q6:Q28, Q5,J6:J28),0)</f>
        <v>3853569</v>
      </c>
      <c r="K29" s="15" t="s">
        <v>823</v>
      </c>
      <c r="L29" s="23">
        <f>F29+H29+J29</f>
        <v>26524212</v>
      </c>
      <c r="M29" s="5"/>
      <c r="AW29" s="5" t="s">
        <v>823</v>
      </c>
    </row>
    <row r="30" spans="1:49" ht="28.5" customHeight="1" x14ac:dyDescent="0.3">
      <c r="A30" s="19" t="s">
        <v>898</v>
      </c>
      <c r="B30" s="5"/>
      <c r="C30" s="5"/>
      <c r="D30" s="5" t="s">
        <v>823</v>
      </c>
      <c r="E30" s="5" t="s">
        <v>823</v>
      </c>
      <c r="F30" s="5" t="s">
        <v>823</v>
      </c>
      <c r="G30" s="5" t="s">
        <v>823</v>
      </c>
      <c r="H30" s="5" t="s">
        <v>823</v>
      </c>
      <c r="I30" s="5" t="s">
        <v>823</v>
      </c>
      <c r="J30" s="5" t="s">
        <v>823</v>
      </c>
      <c r="K30" s="5" t="s">
        <v>823</v>
      </c>
      <c r="L30" s="5" t="s">
        <v>823</v>
      </c>
      <c r="M30" s="5" t="s">
        <v>823</v>
      </c>
      <c r="N30" s="2" t="s">
        <v>823</v>
      </c>
      <c r="Q30" s="14" t="s">
        <v>659</v>
      </c>
      <c r="R30" s="31">
        <v>1629267</v>
      </c>
      <c r="S30" s="31">
        <v>0</v>
      </c>
      <c r="AH30" s="14"/>
      <c r="AW30" s="5" t="s">
        <v>823</v>
      </c>
    </row>
    <row r="31" spans="1:49" ht="28.5" customHeight="1" x14ac:dyDescent="0.3">
      <c r="A31" s="5" t="s">
        <v>1182</v>
      </c>
      <c r="B31" s="29" t="s">
        <v>12</v>
      </c>
      <c r="C31" s="5" t="s">
        <v>415</v>
      </c>
      <c r="D31" s="10">
        <v>0.28000000000000003</v>
      </c>
      <c r="E31" s="28">
        <f>TRUNC(TRUNC(단가대비표!U71,0)*AV31/100,0)</f>
        <v>1180000</v>
      </c>
      <c r="F31" s="23">
        <f t="shared" ref="F31:F53" si="5">TRUNC(D31*E31,0)</f>
        <v>330400</v>
      </c>
      <c r="G31" s="28">
        <f>TRUNC(TRUNC(단가대비표!V71,0)*AV31/100,0)</f>
        <v>0</v>
      </c>
      <c r="H31" s="23">
        <f t="shared" ref="H31:H53" si="6">TRUNC(D31*G31,0)</f>
        <v>0</v>
      </c>
      <c r="I31" s="28">
        <f>TRUNC(TRUNC(단가대비표!AE71,0)*AV31/100,0)</f>
        <v>0</v>
      </c>
      <c r="J31" s="23">
        <f t="shared" ref="J31:J53" si="7">TRUNC(D31*I31,0)</f>
        <v>0</v>
      </c>
      <c r="K31" s="28">
        <f t="shared" ref="K31:K53" si="8">TRUNC(E31+G31+I31,0)</f>
        <v>1180000</v>
      </c>
      <c r="L31" s="23">
        <f t="shared" ref="L31:L53" si="9">TRUNC(F31+H31+J31,0)</f>
        <v>330400</v>
      </c>
      <c r="M31" s="29"/>
      <c r="N31" s="13" t="str">
        <f>HYPERLINK("#단가대비표!B71", "E10021")</f>
        <v>E10021</v>
      </c>
      <c r="O31" s="14" t="s">
        <v>823</v>
      </c>
      <c r="P31" s="14" t="s">
        <v>823</v>
      </c>
      <c r="Q31" s="14" t="s">
        <v>659</v>
      </c>
      <c r="R31" s="31">
        <v>1629267</v>
      </c>
      <c r="S31" s="31">
        <v>20</v>
      </c>
      <c r="T31" s="14" t="s">
        <v>510</v>
      </c>
      <c r="U31" s="14" t="s">
        <v>510</v>
      </c>
      <c r="V31" s="14" t="s">
        <v>904</v>
      </c>
      <c r="W31" s="14" t="s">
        <v>823</v>
      </c>
      <c r="X31" s="31">
        <v>0</v>
      </c>
      <c r="Y31" s="31">
        <v>0</v>
      </c>
      <c r="Z31" s="31">
        <v>7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74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14"/>
      <c r="AV31" s="31">
        <v>100</v>
      </c>
      <c r="AW31" s="3" t="s">
        <v>680</v>
      </c>
    </row>
    <row r="32" spans="1:49" ht="28.5" customHeight="1" x14ac:dyDescent="0.3">
      <c r="A32" s="5" t="s">
        <v>1182</v>
      </c>
      <c r="B32" s="29" t="s">
        <v>979</v>
      </c>
      <c r="C32" s="5" t="s">
        <v>415</v>
      </c>
      <c r="D32" s="10">
        <v>5.16</v>
      </c>
      <c r="E32" s="28">
        <f>TRUNC(TRUNC(단가대비표!U72,0)*AV32/100,0)</f>
        <v>1180000</v>
      </c>
      <c r="F32" s="23">
        <f t="shared" si="5"/>
        <v>6088800</v>
      </c>
      <c r="G32" s="28">
        <f>TRUNC(TRUNC(단가대비표!V72,0)*AV32/100,0)</f>
        <v>0</v>
      </c>
      <c r="H32" s="23">
        <f t="shared" si="6"/>
        <v>0</v>
      </c>
      <c r="I32" s="28">
        <f>TRUNC(TRUNC(단가대비표!AE72,0)*AV32/100,0)</f>
        <v>0</v>
      </c>
      <c r="J32" s="23">
        <f t="shared" si="7"/>
        <v>0</v>
      </c>
      <c r="K32" s="28">
        <f t="shared" si="8"/>
        <v>1180000</v>
      </c>
      <c r="L32" s="23">
        <f t="shared" si="9"/>
        <v>6088800</v>
      </c>
      <c r="M32" s="29"/>
      <c r="N32" s="13" t="str">
        <f>HYPERLINK("#단가대비표!B72", "E10060")</f>
        <v>E10060</v>
      </c>
      <c r="O32" s="14" t="s">
        <v>823</v>
      </c>
      <c r="P32" s="14" t="s">
        <v>823</v>
      </c>
      <c r="Q32" s="14" t="s">
        <v>659</v>
      </c>
      <c r="R32" s="31">
        <v>1629267</v>
      </c>
      <c r="S32" s="31">
        <v>30</v>
      </c>
      <c r="T32" s="14" t="s">
        <v>510</v>
      </c>
      <c r="U32" s="14" t="s">
        <v>510</v>
      </c>
      <c r="V32" s="14" t="s">
        <v>904</v>
      </c>
      <c r="W32" s="14" t="s">
        <v>823</v>
      </c>
      <c r="X32" s="31">
        <v>0</v>
      </c>
      <c r="Y32" s="31">
        <v>0</v>
      </c>
      <c r="Z32" s="31">
        <v>7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74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14"/>
      <c r="AV32" s="31">
        <v>100</v>
      </c>
      <c r="AW32" s="3" t="s">
        <v>703</v>
      </c>
    </row>
    <row r="33" spans="1:49" ht="28.5" customHeight="1" x14ac:dyDescent="0.3">
      <c r="A33" s="5" t="s">
        <v>219</v>
      </c>
      <c r="B33" s="29" t="s">
        <v>823</v>
      </c>
      <c r="C33" s="5" t="s">
        <v>1187</v>
      </c>
      <c r="D33" s="10">
        <v>149.94</v>
      </c>
      <c r="E33" s="28">
        <f>TRUNC(TRUNC(단가대비표!U73,0)*AV33/100,0)</f>
        <v>4140</v>
      </c>
      <c r="F33" s="23">
        <f t="shared" si="5"/>
        <v>620751</v>
      </c>
      <c r="G33" s="28">
        <f>TRUNC(TRUNC(단가대비표!V73,0)*AV33/100,0)</f>
        <v>0</v>
      </c>
      <c r="H33" s="23">
        <f t="shared" si="6"/>
        <v>0</v>
      </c>
      <c r="I33" s="28">
        <f>TRUNC(TRUNC(단가대비표!AE73,0)*AV33/100,0)</f>
        <v>0</v>
      </c>
      <c r="J33" s="23">
        <f t="shared" si="7"/>
        <v>0</v>
      </c>
      <c r="K33" s="28">
        <f t="shared" si="8"/>
        <v>4140</v>
      </c>
      <c r="L33" s="23">
        <f t="shared" si="9"/>
        <v>620751</v>
      </c>
      <c r="M33" s="29"/>
      <c r="N33" s="13" t="str">
        <f>HYPERLINK("#단가대비표!B73", "E20500")</f>
        <v>E20500</v>
      </c>
      <c r="O33" s="14" t="s">
        <v>823</v>
      </c>
      <c r="P33" s="14" t="s">
        <v>823</v>
      </c>
      <c r="Q33" s="14" t="s">
        <v>659</v>
      </c>
      <c r="R33" s="31">
        <v>1629267</v>
      </c>
      <c r="S33" s="31">
        <v>35</v>
      </c>
      <c r="T33" s="14" t="s">
        <v>510</v>
      </c>
      <c r="U33" s="14" t="s">
        <v>510</v>
      </c>
      <c r="V33" s="14" t="s">
        <v>904</v>
      </c>
      <c r="W33" s="14" t="s">
        <v>823</v>
      </c>
      <c r="X33" s="31">
        <v>0</v>
      </c>
      <c r="Y33" s="31">
        <v>0</v>
      </c>
      <c r="Z33" s="31">
        <v>5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74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14" t="s">
        <v>823</v>
      </c>
      <c r="AV33" s="31">
        <v>100</v>
      </c>
      <c r="AW33" s="3" t="s">
        <v>325</v>
      </c>
    </row>
    <row r="34" spans="1:49" ht="28.5" customHeight="1" x14ac:dyDescent="0.3">
      <c r="A34" s="5" t="s">
        <v>143</v>
      </c>
      <c r="B34" s="29" t="s">
        <v>823</v>
      </c>
      <c r="C34" s="5" t="s">
        <v>1187</v>
      </c>
      <c r="D34" s="10">
        <v>199.87</v>
      </c>
      <c r="E34" s="28">
        <f>TRUNC(TRUNC(단가대비표!U74,0)*AV34/100,0)</f>
        <v>9040</v>
      </c>
      <c r="F34" s="23">
        <f t="shared" si="5"/>
        <v>1806824</v>
      </c>
      <c r="G34" s="28">
        <f>TRUNC(TRUNC(단가대비표!V74,0)*AV34/100,0)</f>
        <v>0</v>
      </c>
      <c r="H34" s="23">
        <f t="shared" si="6"/>
        <v>0</v>
      </c>
      <c r="I34" s="28">
        <f>TRUNC(TRUNC(단가대비표!AE74,0)*AV34/100,0)</f>
        <v>0</v>
      </c>
      <c r="J34" s="23">
        <f t="shared" si="7"/>
        <v>0</v>
      </c>
      <c r="K34" s="28">
        <f t="shared" si="8"/>
        <v>9040</v>
      </c>
      <c r="L34" s="23">
        <f t="shared" si="9"/>
        <v>1806824</v>
      </c>
      <c r="M34" s="29"/>
      <c r="N34" s="13" t="str">
        <f>HYPERLINK("#단가대비표!B74", "E20920")</f>
        <v>E20920</v>
      </c>
      <c r="O34" s="14" t="s">
        <v>823</v>
      </c>
      <c r="P34" s="14" t="s">
        <v>823</v>
      </c>
      <c r="Q34" s="14" t="s">
        <v>659</v>
      </c>
      <c r="R34" s="31">
        <v>1629267</v>
      </c>
      <c r="S34" s="31">
        <v>40</v>
      </c>
      <c r="T34" s="14" t="s">
        <v>510</v>
      </c>
      <c r="U34" s="14" t="s">
        <v>510</v>
      </c>
      <c r="V34" s="14" t="s">
        <v>904</v>
      </c>
      <c r="W34" s="14" t="s">
        <v>823</v>
      </c>
      <c r="X34" s="31">
        <v>0</v>
      </c>
      <c r="Y34" s="31">
        <v>0</v>
      </c>
      <c r="Z34" s="31">
        <v>5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74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14"/>
      <c r="AV34" s="31">
        <v>100</v>
      </c>
      <c r="AW34" s="3" t="s">
        <v>1212</v>
      </c>
    </row>
    <row r="35" spans="1:49" ht="28.5" customHeight="1" x14ac:dyDescent="0.3">
      <c r="A35" s="5" t="s">
        <v>863</v>
      </c>
      <c r="B35" s="29" t="s">
        <v>823</v>
      </c>
      <c r="C35" s="5" t="s">
        <v>1187</v>
      </c>
      <c r="D35" s="10">
        <v>85.25</v>
      </c>
      <c r="E35" s="28">
        <f>TRUNC(TRUNC(단가대비표!U75,0)*AV35/100,0)</f>
        <v>12270</v>
      </c>
      <c r="F35" s="23">
        <f t="shared" si="5"/>
        <v>1046017</v>
      </c>
      <c r="G35" s="28">
        <f>TRUNC(TRUNC(단가대비표!V75,0)*AV35/100,0)</f>
        <v>0</v>
      </c>
      <c r="H35" s="23">
        <f t="shared" si="6"/>
        <v>0</v>
      </c>
      <c r="I35" s="28">
        <f>TRUNC(TRUNC(단가대비표!AE75,0)*AV35/100,0)</f>
        <v>0</v>
      </c>
      <c r="J35" s="23">
        <f t="shared" si="7"/>
        <v>0</v>
      </c>
      <c r="K35" s="28">
        <f t="shared" si="8"/>
        <v>12270</v>
      </c>
      <c r="L35" s="23">
        <f t="shared" si="9"/>
        <v>1046017</v>
      </c>
      <c r="M35" s="29"/>
      <c r="N35" s="13" t="str">
        <f>HYPERLINK("#단가대비표!B75", "E21002")</f>
        <v>E21002</v>
      </c>
      <c r="O35" s="14" t="s">
        <v>823</v>
      </c>
      <c r="P35" s="14" t="s">
        <v>823</v>
      </c>
      <c r="Q35" s="14" t="s">
        <v>659</v>
      </c>
      <c r="R35" s="31">
        <v>1629267</v>
      </c>
      <c r="S35" s="31">
        <v>50</v>
      </c>
      <c r="T35" s="14" t="s">
        <v>510</v>
      </c>
      <c r="U35" s="14" t="s">
        <v>510</v>
      </c>
      <c r="V35" s="14" t="s">
        <v>904</v>
      </c>
      <c r="W35" s="14" t="s">
        <v>823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74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14"/>
      <c r="AV35" s="31">
        <v>100</v>
      </c>
      <c r="AW35" s="3" t="s">
        <v>778</v>
      </c>
    </row>
    <row r="36" spans="1:49" ht="28.5" customHeight="1" x14ac:dyDescent="0.3">
      <c r="A36" s="5" t="s">
        <v>257</v>
      </c>
      <c r="B36" s="29" t="s">
        <v>1288</v>
      </c>
      <c r="C36" s="5" t="s">
        <v>415</v>
      </c>
      <c r="D36" s="10">
        <v>0.82</v>
      </c>
      <c r="E36" s="28">
        <f>TRUNC(TRUNC(단가대비표!U76,0)*AV36/100,0)</f>
        <v>1127000</v>
      </c>
      <c r="F36" s="23">
        <f t="shared" si="5"/>
        <v>924140</v>
      </c>
      <c r="G36" s="28">
        <f>TRUNC(TRUNC(단가대비표!V76,0)*AV36/100,0)</f>
        <v>0</v>
      </c>
      <c r="H36" s="23">
        <f t="shared" si="6"/>
        <v>0</v>
      </c>
      <c r="I36" s="28">
        <f>TRUNC(TRUNC(단가대비표!AE76,0)*AV36/100,0)</f>
        <v>0</v>
      </c>
      <c r="J36" s="23">
        <f t="shared" si="7"/>
        <v>0</v>
      </c>
      <c r="K36" s="28">
        <f t="shared" si="8"/>
        <v>1127000</v>
      </c>
      <c r="L36" s="23">
        <f t="shared" si="9"/>
        <v>924140</v>
      </c>
      <c r="M36" s="29"/>
      <c r="N36" s="13" t="str">
        <f>HYPERLINK("#단가대비표!B76", "E30009")</f>
        <v>E30009</v>
      </c>
      <c r="O36" s="14" t="s">
        <v>823</v>
      </c>
      <c r="P36" s="14" t="s">
        <v>823</v>
      </c>
      <c r="Q36" s="14" t="s">
        <v>659</v>
      </c>
      <c r="R36" s="31">
        <v>1629267</v>
      </c>
      <c r="S36" s="31">
        <v>60</v>
      </c>
      <c r="T36" s="14" t="s">
        <v>510</v>
      </c>
      <c r="U36" s="14" t="s">
        <v>510</v>
      </c>
      <c r="V36" s="14" t="s">
        <v>904</v>
      </c>
      <c r="W36" s="14" t="s">
        <v>823</v>
      </c>
      <c r="X36" s="31">
        <v>0</v>
      </c>
      <c r="Y36" s="31">
        <v>0</v>
      </c>
      <c r="Z36" s="31">
        <v>10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74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14"/>
      <c r="AV36" s="31">
        <v>100</v>
      </c>
      <c r="AW36" s="3" t="s">
        <v>764</v>
      </c>
    </row>
    <row r="37" spans="1:49" ht="28.5" customHeight="1" x14ac:dyDescent="0.3">
      <c r="A37" s="5" t="s">
        <v>257</v>
      </c>
      <c r="B37" s="29" t="s">
        <v>615</v>
      </c>
      <c r="C37" s="5" t="s">
        <v>415</v>
      </c>
      <c r="D37" s="10">
        <v>0.71</v>
      </c>
      <c r="E37" s="28">
        <f>TRUNC(TRUNC(단가대비표!U77,0)*AV37/100,0)</f>
        <v>1073000</v>
      </c>
      <c r="F37" s="23">
        <f t="shared" si="5"/>
        <v>761830</v>
      </c>
      <c r="G37" s="28">
        <f>TRUNC(TRUNC(단가대비표!V77,0)*AV37/100,0)</f>
        <v>0</v>
      </c>
      <c r="H37" s="23">
        <f t="shared" si="6"/>
        <v>0</v>
      </c>
      <c r="I37" s="28">
        <f>TRUNC(TRUNC(단가대비표!AE77,0)*AV37/100,0)</f>
        <v>0</v>
      </c>
      <c r="J37" s="23">
        <f t="shared" si="7"/>
        <v>0</v>
      </c>
      <c r="K37" s="28">
        <f t="shared" si="8"/>
        <v>1073000</v>
      </c>
      <c r="L37" s="23">
        <f t="shared" si="9"/>
        <v>761830</v>
      </c>
      <c r="M37" s="29"/>
      <c r="N37" s="13" t="str">
        <f>HYPERLINK("#단가대비표!B77", "E30016")</f>
        <v>E30016</v>
      </c>
      <c r="O37" s="14" t="s">
        <v>823</v>
      </c>
      <c r="P37" s="14" t="s">
        <v>823</v>
      </c>
      <c r="Q37" s="14" t="s">
        <v>659</v>
      </c>
      <c r="R37" s="31">
        <v>1629267</v>
      </c>
      <c r="S37" s="31">
        <v>70</v>
      </c>
      <c r="T37" s="14" t="s">
        <v>510</v>
      </c>
      <c r="U37" s="14" t="s">
        <v>510</v>
      </c>
      <c r="V37" s="14" t="s">
        <v>904</v>
      </c>
      <c r="W37" s="14" t="s">
        <v>823</v>
      </c>
      <c r="X37" s="31">
        <v>0</v>
      </c>
      <c r="Y37" s="31">
        <v>0</v>
      </c>
      <c r="Z37" s="31">
        <v>10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74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14"/>
      <c r="AV37" s="31">
        <v>100</v>
      </c>
      <c r="AW37" s="3" t="s">
        <v>180</v>
      </c>
    </row>
    <row r="38" spans="1:49" ht="28.5" customHeight="1" x14ac:dyDescent="0.3">
      <c r="A38" s="5" t="s">
        <v>653</v>
      </c>
      <c r="B38" s="29" t="s">
        <v>398</v>
      </c>
      <c r="C38" s="5" t="s">
        <v>130</v>
      </c>
      <c r="D38" s="10">
        <v>1054.72</v>
      </c>
      <c r="E38" s="28">
        <f>TRUNC(TRUNC(단가대비표!U54,0)*AV38/100,0)</f>
        <v>995</v>
      </c>
      <c r="F38" s="23">
        <f t="shared" si="5"/>
        <v>1049446</v>
      </c>
      <c r="G38" s="28">
        <f>TRUNC(TRUNC(단가대비표!V54,0)*AV38/100,0)</f>
        <v>0</v>
      </c>
      <c r="H38" s="23">
        <f t="shared" si="6"/>
        <v>0</v>
      </c>
      <c r="I38" s="28">
        <f>TRUNC(TRUNC(단가대비표!AE54,0)*AV38/100,0)</f>
        <v>0</v>
      </c>
      <c r="J38" s="23">
        <f t="shared" si="7"/>
        <v>0</v>
      </c>
      <c r="K38" s="28">
        <f t="shared" si="8"/>
        <v>995</v>
      </c>
      <c r="L38" s="23">
        <f t="shared" si="9"/>
        <v>1049446</v>
      </c>
      <c r="M38" s="29" t="s">
        <v>823</v>
      </c>
      <c r="N38" s="13" t="str">
        <f>HYPERLINK("#단가대비표!B54", "3116161320135547")</f>
        <v>3116161320135547</v>
      </c>
      <c r="O38" s="14" t="s">
        <v>823</v>
      </c>
      <c r="P38" s="14" t="s">
        <v>823</v>
      </c>
      <c r="Q38" s="14" t="s">
        <v>659</v>
      </c>
      <c r="R38" s="31">
        <v>1629267</v>
      </c>
      <c r="S38" s="31">
        <v>75</v>
      </c>
      <c r="T38" s="14" t="s">
        <v>510</v>
      </c>
      <c r="U38" s="14" t="s">
        <v>510</v>
      </c>
      <c r="V38" s="14" t="s">
        <v>904</v>
      </c>
      <c r="W38" s="14" t="s">
        <v>823</v>
      </c>
      <c r="X38" s="31">
        <v>0</v>
      </c>
      <c r="Y38" s="31">
        <v>0</v>
      </c>
      <c r="Z38" s="31">
        <v>3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74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14"/>
      <c r="AV38" s="31">
        <v>100</v>
      </c>
      <c r="AW38" s="3" t="s">
        <v>887</v>
      </c>
    </row>
    <row r="39" spans="1:49" ht="28.5" customHeight="1" x14ac:dyDescent="0.3">
      <c r="A39" s="5" t="s">
        <v>1089</v>
      </c>
      <c r="B39" s="29" t="s">
        <v>359</v>
      </c>
      <c r="C39" s="5" t="s">
        <v>1312</v>
      </c>
      <c r="D39" s="10">
        <v>6.47</v>
      </c>
      <c r="E39" s="28">
        <f>TRUNC(TRUNC(일위대가목록!E16,0)*AV39/100,0)</f>
        <v>6192</v>
      </c>
      <c r="F39" s="23">
        <f t="shared" si="5"/>
        <v>40062</v>
      </c>
      <c r="G39" s="28">
        <f>TRUNC(TRUNC(일위대가목록!F16,0)*AV39/100,0)</f>
        <v>206405</v>
      </c>
      <c r="H39" s="23">
        <f t="shared" si="6"/>
        <v>1335440</v>
      </c>
      <c r="I39" s="28">
        <f>TRUNC(TRUNC(일위대가목록!G16,0)*AV39/100,0)</f>
        <v>0</v>
      </c>
      <c r="J39" s="23">
        <f t="shared" si="7"/>
        <v>0</v>
      </c>
      <c r="K39" s="28">
        <f t="shared" si="8"/>
        <v>212597</v>
      </c>
      <c r="L39" s="23">
        <f t="shared" si="9"/>
        <v>1375502</v>
      </c>
      <c r="M39" s="29"/>
      <c r="N39" s="13" t="str">
        <f>HYPERLINK("#일위대가목록!A16", "AEE90000040S")</f>
        <v>AEE90000040S</v>
      </c>
      <c r="O39" s="14" t="s">
        <v>823</v>
      </c>
      <c r="P39" s="14" t="s">
        <v>823</v>
      </c>
      <c r="Q39" s="14" t="s">
        <v>659</v>
      </c>
      <c r="R39" s="31">
        <v>1629267</v>
      </c>
      <c r="S39" s="31">
        <v>77</v>
      </c>
      <c r="T39" s="14" t="s">
        <v>904</v>
      </c>
      <c r="U39" s="14" t="s">
        <v>510</v>
      </c>
      <c r="V39" s="14" t="s">
        <v>510</v>
      </c>
      <c r="W39" s="14" t="s">
        <v>823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74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14"/>
      <c r="AV39" s="31">
        <v>100</v>
      </c>
      <c r="AW39" s="3" t="s">
        <v>206</v>
      </c>
    </row>
    <row r="40" spans="1:49" ht="28.5" customHeight="1" x14ac:dyDescent="0.3">
      <c r="A40" s="5" t="s">
        <v>1040</v>
      </c>
      <c r="B40" s="29" t="s">
        <v>164</v>
      </c>
      <c r="C40" s="5" t="s">
        <v>1312</v>
      </c>
      <c r="D40" s="10">
        <v>6.47</v>
      </c>
      <c r="E40" s="28">
        <f>TRUNC(TRUNC(일위대가목록!E17,0)*AV40/100,0)</f>
        <v>5567</v>
      </c>
      <c r="F40" s="23">
        <f t="shared" si="5"/>
        <v>36018</v>
      </c>
      <c r="G40" s="28">
        <f>TRUNC(TRUNC(일위대가목록!F17,0)*AV40/100,0)</f>
        <v>31071</v>
      </c>
      <c r="H40" s="23">
        <f t="shared" si="6"/>
        <v>201029</v>
      </c>
      <c r="I40" s="28">
        <f>TRUNC(TRUNC(일위대가목록!G17,0)*AV40/100,0)</f>
        <v>28082</v>
      </c>
      <c r="J40" s="23">
        <f t="shared" si="7"/>
        <v>181690</v>
      </c>
      <c r="K40" s="28">
        <f t="shared" si="8"/>
        <v>64720</v>
      </c>
      <c r="L40" s="23">
        <f t="shared" si="9"/>
        <v>418737</v>
      </c>
      <c r="M40" s="29"/>
      <c r="N40" s="13" t="str">
        <f>HYPERLINK("#일위대가목록!A17", "AAC21100040S")</f>
        <v>AAC21100040S</v>
      </c>
      <c r="O40" s="14" t="s">
        <v>823</v>
      </c>
      <c r="P40" s="14" t="s">
        <v>823</v>
      </c>
      <c r="Q40" s="14" t="s">
        <v>659</v>
      </c>
      <c r="R40" s="31">
        <v>1629267</v>
      </c>
      <c r="S40" s="31">
        <v>80</v>
      </c>
      <c r="T40" s="14" t="s">
        <v>904</v>
      </c>
      <c r="U40" s="14" t="s">
        <v>510</v>
      </c>
      <c r="V40" s="14" t="s">
        <v>510</v>
      </c>
      <c r="W40" s="14" t="s">
        <v>823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74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14"/>
      <c r="AV40" s="31">
        <v>100</v>
      </c>
      <c r="AW40" s="3" t="s">
        <v>578</v>
      </c>
    </row>
    <row r="41" spans="1:49" ht="28.5" customHeight="1" x14ac:dyDescent="0.3">
      <c r="A41" s="5" t="s">
        <v>52</v>
      </c>
      <c r="B41" s="29" t="s">
        <v>443</v>
      </c>
      <c r="C41" s="5" t="s">
        <v>1312</v>
      </c>
      <c r="D41" s="10">
        <v>6.47</v>
      </c>
      <c r="E41" s="28">
        <f>TRUNC(TRUNC(일위대가목록!E18,0)*AV41/100,0)</f>
        <v>244804</v>
      </c>
      <c r="F41" s="23">
        <f t="shared" si="5"/>
        <v>1583881</v>
      </c>
      <c r="G41" s="28">
        <f>TRUNC(TRUNC(일위대가목록!F18,0)*AV41/100,0)</f>
        <v>387502</v>
      </c>
      <c r="H41" s="23">
        <f t="shared" si="6"/>
        <v>2507137</v>
      </c>
      <c r="I41" s="28">
        <f>TRUNC(TRUNC(일위대가목록!G18,0)*AV41/100,0)</f>
        <v>0</v>
      </c>
      <c r="J41" s="23">
        <f t="shared" si="7"/>
        <v>0</v>
      </c>
      <c r="K41" s="28">
        <f t="shared" si="8"/>
        <v>632306</v>
      </c>
      <c r="L41" s="23">
        <f t="shared" si="9"/>
        <v>4091018</v>
      </c>
      <c r="M41" s="29"/>
      <c r="N41" s="13" t="str">
        <f>HYPERLINK("#일위대가목록!A18", "AEC11000070S")</f>
        <v>AEC11000070S</v>
      </c>
      <c r="O41" s="14" t="s">
        <v>823</v>
      </c>
      <c r="P41" s="14" t="s">
        <v>823</v>
      </c>
      <c r="Q41" s="14" t="s">
        <v>659</v>
      </c>
      <c r="R41" s="31">
        <v>1629267</v>
      </c>
      <c r="S41" s="31">
        <v>90</v>
      </c>
      <c r="T41" s="14" t="s">
        <v>904</v>
      </c>
      <c r="U41" s="14" t="s">
        <v>510</v>
      </c>
      <c r="V41" s="14" t="s">
        <v>510</v>
      </c>
      <c r="W41" s="14" t="s">
        <v>823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74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14"/>
      <c r="AV41" s="31">
        <v>100</v>
      </c>
      <c r="AW41" s="3" t="s">
        <v>1238</v>
      </c>
    </row>
    <row r="42" spans="1:49" ht="28.5" customHeight="1" x14ac:dyDescent="0.3">
      <c r="A42" s="5" t="s">
        <v>505</v>
      </c>
      <c r="B42" s="29" t="s">
        <v>813</v>
      </c>
      <c r="C42" s="5" t="s">
        <v>1312</v>
      </c>
      <c r="D42" s="10">
        <v>6.47</v>
      </c>
      <c r="E42" s="28">
        <f>TRUNC(TRUNC(일위대가목록!E19,0)*AV42/100,0)</f>
        <v>0</v>
      </c>
      <c r="F42" s="23">
        <f t="shared" si="5"/>
        <v>0</v>
      </c>
      <c r="G42" s="28">
        <f>TRUNC(TRUNC(일위대가목록!F19,0)*AV42/100,0)</f>
        <v>137858</v>
      </c>
      <c r="H42" s="23">
        <f t="shared" si="6"/>
        <v>891941</v>
      </c>
      <c r="I42" s="28">
        <f>TRUNC(TRUNC(일위대가목록!G19,0)*AV42/100,0)</f>
        <v>0</v>
      </c>
      <c r="J42" s="23">
        <f t="shared" si="7"/>
        <v>0</v>
      </c>
      <c r="K42" s="28">
        <f t="shared" si="8"/>
        <v>137858</v>
      </c>
      <c r="L42" s="23">
        <f t="shared" si="9"/>
        <v>891941</v>
      </c>
      <c r="M42" s="29"/>
      <c r="N42" s="13" t="str">
        <f>HYPERLINK("#일위대가목록!A19", "AEE00000010S")</f>
        <v>AEE00000010S</v>
      </c>
      <c r="O42" s="14" t="s">
        <v>823</v>
      </c>
      <c r="P42" s="14" t="s">
        <v>823</v>
      </c>
      <c r="Q42" s="14" t="s">
        <v>659</v>
      </c>
      <c r="R42" s="31">
        <v>1629267</v>
      </c>
      <c r="S42" s="31">
        <v>110</v>
      </c>
      <c r="T42" s="14" t="s">
        <v>904</v>
      </c>
      <c r="U42" s="14" t="s">
        <v>510</v>
      </c>
      <c r="V42" s="14" t="s">
        <v>510</v>
      </c>
      <c r="W42" s="14" t="s">
        <v>823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74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14"/>
      <c r="AV42" s="31">
        <v>100</v>
      </c>
      <c r="AW42" s="3" t="s">
        <v>353</v>
      </c>
    </row>
    <row r="43" spans="1:49" ht="28.5" customHeight="1" x14ac:dyDescent="0.3">
      <c r="A43" s="5" t="s">
        <v>503</v>
      </c>
      <c r="B43" s="29" t="s">
        <v>823</v>
      </c>
      <c r="C43" s="5" t="s">
        <v>1312</v>
      </c>
      <c r="D43" s="10">
        <v>2.62</v>
      </c>
      <c r="E43" s="28">
        <f>TRUNC(TRUNC(일위대가목록!E20,0)*AV43/100,0)</f>
        <v>54627</v>
      </c>
      <c r="F43" s="23">
        <f t="shared" si="5"/>
        <v>143122</v>
      </c>
      <c r="G43" s="28">
        <f>TRUNC(TRUNC(일위대가목록!F20,0)*AV43/100,0)</f>
        <v>660049</v>
      </c>
      <c r="H43" s="23">
        <f t="shared" si="6"/>
        <v>1729328</v>
      </c>
      <c r="I43" s="28">
        <f>TRUNC(TRUNC(일위대가목록!G20,0)*AV43/100,0)</f>
        <v>222272</v>
      </c>
      <c r="J43" s="23">
        <f t="shared" si="7"/>
        <v>582352</v>
      </c>
      <c r="K43" s="28">
        <f t="shared" si="8"/>
        <v>936948</v>
      </c>
      <c r="L43" s="23">
        <f t="shared" si="9"/>
        <v>2454802</v>
      </c>
      <c r="M43" s="29"/>
      <c r="N43" s="13" t="str">
        <f>HYPERLINK("#일위대가목록!A20", "AED00000010S")</f>
        <v>AED00000010S</v>
      </c>
      <c r="O43" s="14" t="s">
        <v>823</v>
      </c>
      <c r="P43" s="14" t="s">
        <v>823</v>
      </c>
      <c r="Q43" s="14" t="s">
        <v>659</v>
      </c>
      <c r="R43" s="31">
        <v>1629267</v>
      </c>
      <c r="S43" s="31">
        <v>115</v>
      </c>
      <c r="T43" s="14" t="s">
        <v>904</v>
      </c>
      <c r="U43" s="14" t="s">
        <v>510</v>
      </c>
      <c r="V43" s="14" t="s">
        <v>510</v>
      </c>
      <c r="W43" s="14" t="s">
        <v>823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74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14"/>
      <c r="AV43" s="31">
        <v>100</v>
      </c>
      <c r="AW43" s="3" t="s">
        <v>156</v>
      </c>
    </row>
    <row r="44" spans="1:49" ht="28.5" customHeight="1" x14ac:dyDescent="0.3">
      <c r="A44" s="5" t="s">
        <v>593</v>
      </c>
      <c r="B44" s="29" t="s">
        <v>742</v>
      </c>
      <c r="C44" s="5" t="s">
        <v>547</v>
      </c>
      <c r="D44" s="10">
        <v>76</v>
      </c>
      <c r="E44" s="28">
        <f>TRUNC(TRUNC(일위대가목록!E21,0)*AV44/100,0)</f>
        <v>1462</v>
      </c>
      <c r="F44" s="23">
        <f t="shared" si="5"/>
        <v>111112</v>
      </c>
      <c r="G44" s="28">
        <f>TRUNC(TRUNC(일위대가목록!F21,0)*AV44/100,0)</f>
        <v>40321</v>
      </c>
      <c r="H44" s="23">
        <f t="shared" si="6"/>
        <v>3064396</v>
      </c>
      <c r="I44" s="28">
        <f>TRUNC(TRUNC(일위대가목록!G21,0)*AV44/100,0)</f>
        <v>0</v>
      </c>
      <c r="J44" s="23">
        <f t="shared" si="7"/>
        <v>0</v>
      </c>
      <c r="K44" s="28">
        <f t="shared" si="8"/>
        <v>41783</v>
      </c>
      <c r="L44" s="23">
        <f t="shared" si="9"/>
        <v>3175508</v>
      </c>
      <c r="M44" s="29" t="s">
        <v>823</v>
      </c>
      <c r="N44" s="13" t="str">
        <f>HYPERLINK("#일위대가목록!A21", "AEE910401004")</f>
        <v>AEE910401004</v>
      </c>
      <c r="O44" s="14" t="s">
        <v>823</v>
      </c>
      <c r="P44" s="14" t="s">
        <v>823</v>
      </c>
      <c r="Q44" s="14" t="s">
        <v>659</v>
      </c>
      <c r="R44" s="31">
        <v>1629267</v>
      </c>
      <c r="S44" s="31">
        <v>130</v>
      </c>
      <c r="T44" s="14" t="s">
        <v>904</v>
      </c>
      <c r="U44" s="14" t="s">
        <v>510</v>
      </c>
      <c r="V44" s="14" t="s">
        <v>510</v>
      </c>
      <c r="W44" s="14" t="s">
        <v>823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74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14"/>
      <c r="AV44" s="31">
        <v>100</v>
      </c>
      <c r="AW44" s="3" t="s">
        <v>1164</v>
      </c>
    </row>
    <row r="45" spans="1:49" ht="28.5" customHeight="1" x14ac:dyDescent="0.3">
      <c r="A45" s="5" t="s">
        <v>593</v>
      </c>
      <c r="B45" s="29" t="s">
        <v>990</v>
      </c>
      <c r="C45" s="5" t="s">
        <v>547</v>
      </c>
      <c r="D45" s="10">
        <v>11</v>
      </c>
      <c r="E45" s="28">
        <f>TRUNC(TRUNC(일위대가목록!E22,0)*AV45/100,0)</f>
        <v>2106</v>
      </c>
      <c r="F45" s="23">
        <f t="shared" si="5"/>
        <v>23166</v>
      </c>
      <c r="G45" s="28">
        <f>TRUNC(TRUNC(일위대가목록!F22,0)*AV45/100,0)</f>
        <v>40321</v>
      </c>
      <c r="H45" s="23">
        <f t="shared" si="6"/>
        <v>443531</v>
      </c>
      <c r="I45" s="28">
        <f>TRUNC(TRUNC(일위대가목록!G22,0)*AV45/100,0)</f>
        <v>0</v>
      </c>
      <c r="J45" s="23">
        <f t="shared" si="7"/>
        <v>0</v>
      </c>
      <c r="K45" s="28">
        <f t="shared" si="8"/>
        <v>42427</v>
      </c>
      <c r="L45" s="23">
        <f t="shared" si="9"/>
        <v>466697</v>
      </c>
      <c r="M45" s="29" t="s">
        <v>823</v>
      </c>
      <c r="N45" s="13" t="str">
        <f>HYPERLINK("#일위대가목록!A22", "AEE910401005")</f>
        <v>AEE910401005</v>
      </c>
      <c r="O45" s="14" t="s">
        <v>823</v>
      </c>
      <c r="P45" s="14" t="s">
        <v>823</v>
      </c>
      <c r="Q45" s="14" t="s">
        <v>659</v>
      </c>
      <c r="R45" s="31">
        <v>1629267</v>
      </c>
      <c r="S45" s="31">
        <v>140</v>
      </c>
      <c r="T45" s="14" t="s">
        <v>904</v>
      </c>
      <c r="U45" s="14" t="s">
        <v>510</v>
      </c>
      <c r="V45" s="14" t="s">
        <v>510</v>
      </c>
      <c r="W45" s="14" t="s">
        <v>823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74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14"/>
      <c r="AV45" s="31">
        <v>100</v>
      </c>
      <c r="AW45" s="3" t="s">
        <v>993</v>
      </c>
    </row>
    <row r="46" spans="1:49" ht="28.5" customHeight="1" x14ac:dyDescent="0.3">
      <c r="A46" s="5" t="s">
        <v>469</v>
      </c>
      <c r="B46" s="29" t="s">
        <v>1116</v>
      </c>
      <c r="C46" s="5" t="s">
        <v>1004</v>
      </c>
      <c r="D46" s="10">
        <v>237.95</v>
      </c>
      <c r="E46" s="28">
        <f>TRUNC(TRUNC(일위대가목록!E23,0)*AV46/100,0)</f>
        <v>998</v>
      </c>
      <c r="F46" s="23">
        <f t="shared" si="5"/>
        <v>237474</v>
      </c>
      <c r="G46" s="28">
        <f>TRUNC(TRUNC(일위대가목록!F23,0)*AV46/100,0)</f>
        <v>919</v>
      </c>
      <c r="H46" s="23">
        <f t="shared" si="6"/>
        <v>218676</v>
      </c>
      <c r="I46" s="28">
        <f>TRUNC(TRUNC(일위대가목록!G23,0)*AV46/100,0)</f>
        <v>0</v>
      </c>
      <c r="J46" s="23">
        <f t="shared" si="7"/>
        <v>0</v>
      </c>
      <c r="K46" s="28">
        <f t="shared" si="8"/>
        <v>1917</v>
      </c>
      <c r="L46" s="23">
        <f t="shared" si="9"/>
        <v>456150</v>
      </c>
      <c r="M46" s="29"/>
      <c r="N46" s="13" t="str">
        <f>HYPERLINK("#일위대가목록!A23", "ANA000210021")</f>
        <v>ANA000210021</v>
      </c>
      <c r="O46" s="14" t="s">
        <v>823</v>
      </c>
      <c r="P46" s="14" t="s">
        <v>823</v>
      </c>
      <c r="Q46" s="14" t="s">
        <v>659</v>
      </c>
      <c r="R46" s="31">
        <v>1629267</v>
      </c>
      <c r="S46" s="31">
        <v>150</v>
      </c>
      <c r="T46" s="14" t="s">
        <v>904</v>
      </c>
      <c r="U46" s="14" t="s">
        <v>510</v>
      </c>
      <c r="V46" s="14" t="s">
        <v>510</v>
      </c>
      <c r="W46" s="14" t="s">
        <v>823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74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14"/>
      <c r="AV46" s="31">
        <v>100</v>
      </c>
      <c r="AW46" s="3" t="s">
        <v>634</v>
      </c>
    </row>
    <row r="47" spans="1:49" ht="28.5" customHeight="1" x14ac:dyDescent="0.3">
      <c r="A47" s="5" t="s">
        <v>983</v>
      </c>
      <c r="B47" s="29" t="s">
        <v>1024</v>
      </c>
      <c r="C47" s="5" t="s">
        <v>1004</v>
      </c>
      <c r="D47" s="10">
        <v>237.95</v>
      </c>
      <c r="E47" s="28">
        <f>TRUNC(TRUNC(일위대가목록!E24,0)*AV47/100,0)</f>
        <v>1851</v>
      </c>
      <c r="F47" s="23">
        <f t="shared" si="5"/>
        <v>440445</v>
      </c>
      <c r="G47" s="28">
        <f>TRUNC(TRUNC(일위대가목록!F24,0)*AV47/100,0)</f>
        <v>3301</v>
      </c>
      <c r="H47" s="23">
        <f t="shared" si="6"/>
        <v>785472</v>
      </c>
      <c r="I47" s="28">
        <f>TRUNC(TRUNC(일위대가목록!G24,0)*AV47/100,0)</f>
        <v>0</v>
      </c>
      <c r="J47" s="23">
        <f t="shared" si="7"/>
        <v>0</v>
      </c>
      <c r="K47" s="28">
        <f t="shared" si="8"/>
        <v>5152</v>
      </c>
      <c r="L47" s="23">
        <f t="shared" si="9"/>
        <v>1225917</v>
      </c>
      <c r="M47" s="29"/>
      <c r="N47" s="13" t="str">
        <f>HYPERLINK("#일위대가목록!A24", "ANB133376011")</f>
        <v>ANB133376011</v>
      </c>
      <c r="O47" s="14" t="s">
        <v>823</v>
      </c>
      <c r="P47" s="14" t="s">
        <v>823</v>
      </c>
      <c r="Q47" s="14" t="s">
        <v>659</v>
      </c>
      <c r="R47" s="31">
        <v>1629267</v>
      </c>
      <c r="S47" s="31">
        <v>160</v>
      </c>
      <c r="T47" s="14" t="s">
        <v>904</v>
      </c>
      <c r="U47" s="14" t="s">
        <v>510</v>
      </c>
      <c r="V47" s="14" t="s">
        <v>510</v>
      </c>
      <c r="W47" s="14" t="s">
        <v>823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74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14"/>
      <c r="AV47" s="31">
        <v>100</v>
      </c>
      <c r="AW47" s="3" t="s">
        <v>975</v>
      </c>
    </row>
    <row r="48" spans="1:49" ht="28.5" customHeight="1" x14ac:dyDescent="0.3">
      <c r="A48" s="5" t="s">
        <v>409</v>
      </c>
      <c r="B48" s="29" t="s">
        <v>871</v>
      </c>
      <c r="C48" s="5" t="s">
        <v>167</v>
      </c>
      <c r="D48" s="10">
        <v>348</v>
      </c>
      <c r="E48" s="28">
        <f>TRUNC(TRUNC(일위대가목록!E25,0)*AV48/100,0)</f>
        <v>3112</v>
      </c>
      <c r="F48" s="23">
        <f t="shared" si="5"/>
        <v>1082976</v>
      </c>
      <c r="G48" s="28">
        <f>TRUNC(TRUNC(일위대가목록!F25,0)*AV48/100,0)</f>
        <v>9447</v>
      </c>
      <c r="H48" s="23">
        <f t="shared" si="6"/>
        <v>3287556</v>
      </c>
      <c r="I48" s="28">
        <f>TRUNC(TRUNC(일위대가목록!G25,0)*AV48/100,0)</f>
        <v>194</v>
      </c>
      <c r="J48" s="23">
        <f t="shared" si="7"/>
        <v>67512</v>
      </c>
      <c r="K48" s="28">
        <f t="shared" si="8"/>
        <v>12753</v>
      </c>
      <c r="L48" s="23">
        <f t="shared" si="9"/>
        <v>4438044</v>
      </c>
      <c r="M48" s="29" t="s">
        <v>823</v>
      </c>
      <c r="N48" s="13" t="str">
        <f>HYPERLINK("#일위대가목록!A25", "AQ1000002000")</f>
        <v>AQ1000002000</v>
      </c>
      <c r="O48" s="14" t="s">
        <v>823</v>
      </c>
      <c r="P48" s="14" t="s">
        <v>823</v>
      </c>
      <c r="Q48" s="14" t="s">
        <v>659</v>
      </c>
      <c r="R48" s="31">
        <v>1629267</v>
      </c>
      <c r="S48" s="31">
        <v>170</v>
      </c>
      <c r="T48" s="14" t="s">
        <v>904</v>
      </c>
      <c r="U48" s="14" t="s">
        <v>510</v>
      </c>
      <c r="V48" s="14" t="s">
        <v>510</v>
      </c>
      <c r="W48" s="14" t="s">
        <v>823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74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14"/>
      <c r="AV48" s="31">
        <v>100</v>
      </c>
      <c r="AW48" s="3" t="s">
        <v>630</v>
      </c>
    </row>
    <row r="49" spans="1:49" ht="28.5" customHeight="1" x14ac:dyDescent="0.3">
      <c r="A49" s="5" t="s">
        <v>823</v>
      </c>
      <c r="B49" s="5" t="s">
        <v>823</v>
      </c>
      <c r="C49" s="5" t="s">
        <v>823</v>
      </c>
      <c r="D49" s="23">
        <v>0</v>
      </c>
      <c r="E49" s="28">
        <v>0</v>
      </c>
      <c r="F49" s="23">
        <f t="shared" si="5"/>
        <v>0</v>
      </c>
      <c r="G49" s="28">
        <v>0</v>
      </c>
      <c r="H49" s="23">
        <f t="shared" si="6"/>
        <v>0</v>
      </c>
      <c r="I49" s="28">
        <v>0</v>
      </c>
      <c r="J49" s="23">
        <f t="shared" si="7"/>
        <v>0</v>
      </c>
      <c r="K49" s="28">
        <f t="shared" si="8"/>
        <v>0</v>
      </c>
      <c r="L49" s="23">
        <f t="shared" si="9"/>
        <v>0</v>
      </c>
      <c r="M49" s="5" t="s">
        <v>823</v>
      </c>
      <c r="N49" s="5" t="s">
        <v>823</v>
      </c>
      <c r="O49" s="5" t="s">
        <v>823</v>
      </c>
      <c r="P49" s="5" t="s">
        <v>823</v>
      </c>
      <c r="AU49" s="14"/>
      <c r="AV49" s="31">
        <v>0</v>
      </c>
      <c r="AW49" s="3" t="s">
        <v>823</v>
      </c>
    </row>
    <row r="50" spans="1:49" ht="28.5" customHeight="1" x14ac:dyDescent="0.3">
      <c r="A50" s="5" t="s">
        <v>823</v>
      </c>
      <c r="B50" s="5" t="s">
        <v>823</v>
      </c>
      <c r="C50" s="5" t="s">
        <v>823</v>
      </c>
      <c r="D50" s="23">
        <v>0</v>
      </c>
      <c r="E50" s="28">
        <v>0</v>
      </c>
      <c r="F50" s="23">
        <f t="shared" si="5"/>
        <v>0</v>
      </c>
      <c r="G50" s="28">
        <v>0</v>
      </c>
      <c r="H50" s="23">
        <f t="shared" si="6"/>
        <v>0</v>
      </c>
      <c r="I50" s="28">
        <v>0</v>
      </c>
      <c r="J50" s="23">
        <f t="shared" si="7"/>
        <v>0</v>
      </c>
      <c r="K50" s="28">
        <f t="shared" si="8"/>
        <v>0</v>
      </c>
      <c r="L50" s="23">
        <f t="shared" si="9"/>
        <v>0</v>
      </c>
      <c r="M50" s="5" t="s">
        <v>823</v>
      </c>
      <c r="N50" s="5" t="s">
        <v>823</v>
      </c>
      <c r="O50" s="5" t="s">
        <v>823</v>
      </c>
      <c r="P50" s="5" t="s">
        <v>823</v>
      </c>
      <c r="AU50" s="14"/>
      <c r="AV50" s="31">
        <v>0</v>
      </c>
      <c r="AW50" s="3" t="s">
        <v>823</v>
      </c>
    </row>
    <row r="51" spans="1:49" ht="28.5" customHeight="1" x14ac:dyDescent="0.3">
      <c r="A51" s="5" t="s">
        <v>823</v>
      </c>
      <c r="B51" s="5" t="s">
        <v>823</v>
      </c>
      <c r="C51" s="5" t="s">
        <v>823</v>
      </c>
      <c r="D51" s="23">
        <v>0</v>
      </c>
      <c r="E51" s="28">
        <v>0</v>
      </c>
      <c r="F51" s="23">
        <f t="shared" si="5"/>
        <v>0</v>
      </c>
      <c r="G51" s="28">
        <v>0</v>
      </c>
      <c r="H51" s="23">
        <f t="shared" si="6"/>
        <v>0</v>
      </c>
      <c r="I51" s="28">
        <v>0</v>
      </c>
      <c r="J51" s="23">
        <f t="shared" si="7"/>
        <v>0</v>
      </c>
      <c r="K51" s="28">
        <f t="shared" si="8"/>
        <v>0</v>
      </c>
      <c r="L51" s="23">
        <f t="shared" si="9"/>
        <v>0</v>
      </c>
      <c r="M51" s="5" t="s">
        <v>823</v>
      </c>
      <c r="N51" s="5" t="s">
        <v>823</v>
      </c>
      <c r="O51" s="5" t="s">
        <v>823</v>
      </c>
      <c r="P51" s="5" t="s">
        <v>823</v>
      </c>
      <c r="AU51" s="14"/>
      <c r="AV51" s="31">
        <v>0</v>
      </c>
      <c r="AW51" s="3" t="s">
        <v>823</v>
      </c>
    </row>
    <row r="52" spans="1:49" ht="28.5" customHeight="1" x14ac:dyDescent="0.3">
      <c r="A52" s="5" t="s">
        <v>823</v>
      </c>
      <c r="B52" s="5" t="s">
        <v>823</v>
      </c>
      <c r="C52" s="5" t="s">
        <v>823</v>
      </c>
      <c r="D52" s="23">
        <v>0</v>
      </c>
      <c r="E52" s="28">
        <v>0</v>
      </c>
      <c r="F52" s="23">
        <f t="shared" si="5"/>
        <v>0</v>
      </c>
      <c r="G52" s="28">
        <v>0</v>
      </c>
      <c r="H52" s="23">
        <f t="shared" si="6"/>
        <v>0</v>
      </c>
      <c r="I52" s="28">
        <v>0</v>
      </c>
      <c r="J52" s="23">
        <f t="shared" si="7"/>
        <v>0</v>
      </c>
      <c r="K52" s="28">
        <f t="shared" si="8"/>
        <v>0</v>
      </c>
      <c r="L52" s="23">
        <f t="shared" si="9"/>
        <v>0</v>
      </c>
      <c r="M52" s="5" t="s">
        <v>823</v>
      </c>
      <c r="N52" s="5" t="s">
        <v>823</v>
      </c>
      <c r="O52" s="5" t="s">
        <v>823</v>
      </c>
      <c r="P52" s="5" t="s">
        <v>823</v>
      </c>
      <c r="AU52" s="14"/>
      <c r="AV52" s="31">
        <v>0</v>
      </c>
      <c r="AW52" s="3" t="s">
        <v>823</v>
      </c>
    </row>
    <row r="53" spans="1:49" ht="28.5" customHeight="1" x14ac:dyDescent="0.3">
      <c r="A53" s="5" t="s">
        <v>823</v>
      </c>
      <c r="B53" s="5" t="s">
        <v>823</v>
      </c>
      <c r="C53" s="5" t="s">
        <v>823</v>
      </c>
      <c r="D53" s="23">
        <v>0</v>
      </c>
      <c r="E53" s="28">
        <v>0</v>
      </c>
      <c r="F53" s="23">
        <f t="shared" si="5"/>
        <v>0</v>
      </c>
      <c r="G53" s="28">
        <v>0</v>
      </c>
      <c r="H53" s="23">
        <f t="shared" si="6"/>
        <v>0</v>
      </c>
      <c r="I53" s="28">
        <v>0</v>
      </c>
      <c r="J53" s="23">
        <f t="shared" si="7"/>
        <v>0</v>
      </c>
      <c r="K53" s="28">
        <f t="shared" si="8"/>
        <v>0</v>
      </c>
      <c r="L53" s="23">
        <f t="shared" si="9"/>
        <v>0</v>
      </c>
      <c r="M53" s="5" t="s">
        <v>823</v>
      </c>
      <c r="N53" s="5" t="s">
        <v>823</v>
      </c>
      <c r="O53" s="5" t="s">
        <v>823</v>
      </c>
      <c r="P53" s="5" t="s">
        <v>823</v>
      </c>
      <c r="AU53" s="14"/>
      <c r="AV53" s="31">
        <v>0</v>
      </c>
      <c r="AW53" s="3" t="s">
        <v>823</v>
      </c>
    </row>
    <row r="54" spans="1:49" ht="28.5" customHeight="1" x14ac:dyDescent="0.3">
      <c r="A54" s="5" t="s">
        <v>141</v>
      </c>
      <c r="B54" s="5" t="s">
        <v>823</v>
      </c>
      <c r="C54" s="5" t="s">
        <v>823</v>
      </c>
      <c r="D54" s="5" t="s">
        <v>823</v>
      </c>
      <c r="E54" s="18">
        <v>0</v>
      </c>
      <c r="F54" s="23">
        <f>TRUNC(SUMIF(Q31:Q53, Q30,F31:F53),0)</f>
        <v>16326464</v>
      </c>
      <c r="G54" s="23">
        <v>0</v>
      </c>
      <c r="H54" s="23">
        <f>TRUNC(SUMIF(Q31:Q53, Q30,H31:H53),0)</f>
        <v>14464506</v>
      </c>
      <c r="I54" s="23">
        <v>0</v>
      </c>
      <c r="J54" s="23">
        <f>TRUNC(SUMIF(Q31:Q53, Q30,J31:J53),0)</f>
        <v>831554</v>
      </c>
      <c r="K54" s="15" t="s">
        <v>823</v>
      </c>
      <c r="L54" s="23">
        <f>F54+H54+J54</f>
        <v>31622524</v>
      </c>
      <c r="M54" s="5"/>
      <c r="AW54" s="5" t="s">
        <v>823</v>
      </c>
    </row>
    <row r="55" spans="1:49" ht="28.5" customHeight="1" x14ac:dyDescent="0.3">
      <c r="A55" s="19" t="s">
        <v>555</v>
      </c>
      <c r="B55" s="5"/>
      <c r="C55" s="5"/>
      <c r="D55" s="5" t="s">
        <v>823</v>
      </c>
      <c r="E55" s="5" t="s">
        <v>823</v>
      </c>
      <c r="F55" s="5" t="s">
        <v>823</v>
      </c>
      <c r="G55" s="5" t="s">
        <v>823</v>
      </c>
      <c r="H55" s="5" t="s">
        <v>823</v>
      </c>
      <c r="I55" s="5" t="s">
        <v>823</v>
      </c>
      <c r="J55" s="5" t="s">
        <v>823</v>
      </c>
      <c r="K55" s="5" t="s">
        <v>823</v>
      </c>
      <c r="L55" s="5" t="s">
        <v>823</v>
      </c>
      <c r="M55" s="5" t="s">
        <v>823</v>
      </c>
      <c r="N55" s="2" t="s">
        <v>823</v>
      </c>
      <c r="Q55" s="14" t="s">
        <v>1271</v>
      </c>
      <c r="R55" s="31">
        <v>1809924</v>
      </c>
      <c r="S55" s="31">
        <v>0</v>
      </c>
      <c r="AH55" s="14"/>
      <c r="AW55" s="5" t="s">
        <v>823</v>
      </c>
    </row>
    <row r="56" spans="1:49" ht="28.5" customHeight="1" x14ac:dyDescent="0.3">
      <c r="A56" s="5" t="s">
        <v>1127</v>
      </c>
      <c r="B56" s="29" t="s">
        <v>765</v>
      </c>
      <c r="C56" s="5" t="s">
        <v>1004</v>
      </c>
      <c r="D56" s="10">
        <v>22.8</v>
      </c>
      <c r="E56" s="28">
        <f>TRUNC(TRUNC(일위대가목록!E26,0)*AV56/100,0)</f>
        <v>3353</v>
      </c>
      <c r="F56" s="23">
        <f t="shared" ref="F56:F78" si="10">TRUNC(D56*E56,0)</f>
        <v>76448</v>
      </c>
      <c r="G56" s="28">
        <f>TRUNC(TRUNC(일위대가목록!F26,0)*AV56/100,0)</f>
        <v>9866</v>
      </c>
      <c r="H56" s="23">
        <f t="shared" ref="H56:H78" si="11">TRUNC(D56*G56,0)</f>
        <v>224944</v>
      </c>
      <c r="I56" s="28">
        <f>TRUNC(TRUNC(일위대가목록!G26,0)*AV56/100,0)</f>
        <v>0</v>
      </c>
      <c r="J56" s="23">
        <f t="shared" ref="J56:J78" si="12">TRUNC(D56*I56,0)</f>
        <v>0</v>
      </c>
      <c r="K56" s="28">
        <f t="shared" ref="K56:K78" si="13">TRUNC(E56+G56+I56,0)</f>
        <v>13219</v>
      </c>
      <c r="L56" s="23">
        <f t="shared" ref="L56:L78" si="14">TRUNC(F56+H56+J56,0)</f>
        <v>301392</v>
      </c>
      <c r="M56" s="29" t="s">
        <v>823</v>
      </c>
      <c r="N56" s="13" t="str">
        <f>HYPERLINK("#일위대가목록!A26", "AD0201000403")</f>
        <v>AD0201000403</v>
      </c>
      <c r="O56" s="14" t="s">
        <v>823</v>
      </c>
      <c r="P56" s="14" t="s">
        <v>823</v>
      </c>
      <c r="Q56" s="14" t="s">
        <v>1271</v>
      </c>
      <c r="R56" s="31">
        <v>1809924</v>
      </c>
      <c r="S56" s="31">
        <v>10</v>
      </c>
      <c r="T56" s="14" t="s">
        <v>904</v>
      </c>
      <c r="U56" s="14" t="s">
        <v>510</v>
      </c>
      <c r="V56" s="14" t="s">
        <v>510</v>
      </c>
      <c r="W56" s="14" t="s">
        <v>823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94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14"/>
      <c r="AV56" s="31">
        <v>100</v>
      </c>
      <c r="AW56" s="3" t="s">
        <v>53</v>
      </c>
    </row>
    <row r="57" spans="1:49" ht="28.5" customHeight="1" x14ac:dyDescent="0.3">
      <c r="A57" s="5" t="s">
        <v>1127</v>
      </c>
      <c r="B57" s="29" t="s">
        <v>710</v>
      </c>
      <c r="C57" s="5" t="s">
        <v>1004</v>
      </c>
      <c r="D57" s="10">
        <v>296.89</v>
      </c>
      <c r="E57" s="28">
        <f>TRUNC(TRUNC(일위대가목록!E27,0)*AV57/100,0)</f>
        <v>8046</v>
      </c>
      <c r="F57" s="23">
        <f t="shared" si="10"/>
        <v>2388776</v>
      </c>
      <c r="G57" s="28">
        <f>TRUNC(TRUNC(일위대가목록!F27,0)*AV57/100,0)</f>
        <v>19732</v>
      </c>
      <c r="H57" s="23">
        <f t="shared" si="11"/>
        <v>5858233</v>
      </c>
      <c r="I57" s="28">
        <f>TRUNC(TRUNC(일위대가목록!G27,0)*AV57/100,0)</f>
        <v>0</v>
      </c>
      <c r="J57" s="23">
        <f t="shared" si="12"/>
        <v>0</v>
      </c>
      <c r="K57" s="28">
        <f t="shared" si="13"/>
        <v>27778</v>
      </c>
      <c r="L57" s="23">
        <f t="shared" si="14"/>
        <v>8247009</v>
      </c>
      <c r="M57" s="29" t="s">
        <v>823</v>
      </c>
      <c r="N57" s="13" t="str">
        <f>HYPERLINK("#일위대가목록!A27", "AD0201000404")</f>
        <v>AD0201000404</v>
      </c>
      <c r="O57" s="14" t="s">
        <v>823</v>
      </c>
      <c r="P57" s="14" t="s">
        <v>823</v>
      </c>
      <c r="Q57" s="14" t="s">
        <v>1271</v>
      </c>
      <c r="R57" s="31">
        <v>1809924</v>
      </c>
      <c r="S57" s="31">
        <v>20</v>
      </c>
      <c r="T57" s="14" t="s">
        <v>904</v>
      </c>
      <c r="U57" s="14" t="s">
        <v>510</v>
      </c>
      <c r="V57" s="14" t="s">
        <v>510</v>
      </c>
      <c r="W57" s="14" t="s">
        <v>823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94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14"/>
      <c r="AV57" s="31">
        <v>100</v>
      </c>
      <c r="AW57" s="3" t="s">
        <v>841</v>
      </c>
    </row>
    <row r="58" spans="1:49" ht="28.5" customHeight="1" x14ac:dyDescent="0.3">
      <c r="A58" s="5" t="s">
        <v>823</v>
      </c>
      <c r="B58" s="5" t="s">
        <v>823</v>
      </c>
      <c r="C58" s="5" t="s">
        <v>823</v>
      </c>
      <c r="D58" s="23">
        <v>0</v>
      </c>
      <c r="E58" s="28">
        <v>0</v>
      </c>
      <c r="F58" s="23">
        <f t="shared" si="10"/>
        <v>0</v>
      </c>
      <c r="G58" s="28">
        <v>0</v>
      </c>
      <c r="H58" s="23">
        <f t="shared" si="11"/>
        <v>0</v>
      </c>
      <c r="I58" s="28">
        <v>0</v>
      </c>
      <c r="J58" s="23">
        <f t="shared" si="12"/>
        <v>0</v>
      </c>
      <c r="K58" s="28">
        <f t="shared" si="13"/>
        <v>0</v>
      </c>
      <c r="L58" s="23">
        <f t="shared" si="14"/>
        <v>0</v>
      </c>
      <c r="M58" s="5" t="s">
        <v>823</v>
      </c>
      <c r="N58" s="5" t="s">
        <v>823</v>
      </c>
      <c r="O58" s="5" t="s">
        <v>823</v>
      </c>
      <c r="P58" s="5" t="s">
        <v>823</v>
      </c>
      <c r="AU58" s="14"/>
      <c r="AV58" s="31">
        <v>0</v>
      </c>
      <c r="AW58" s="3" t="s">
        <v>823</v>
      </c>
    </row>
    <row r="59" spans="1:49" ht="28.5" customHeight="1" x14ac:dyDescent="0.3">
      <c r="A59" s="5" t="s">
        <v>823</v>
      </c>
      <c r="B59" s="5" t="s">
        <v>823</v>
      </c>
      <c r="C59" s="5" t="s">
        <v>823</v>
      </c>
      <c r="D59" s="23">
        <v>0</v>
      </c>
      <c r="E59" s="28">
        <v>0</v>
      </c>
      <c r="F59" s="23">
        <f t="shared" si="10"/>
        <v>0</v>
      </c>
      <c r="G59" s="28">
        <v>0</v>
      </c>
      <c r="H59" s="23">
        <f t="shared" si="11"/>
        <v>0</v>
      </c>
      <c r="I59" s="28">
        <v>0</v>
      </c>
      <c r="J59" s="23">
        <f t="shared" si="12"/>
        <v>0</v>
      </c>
      <c r="K59" s="28">
        <f t="shared" si="13"/>
        <v>0</v>
      </c>
      <c r="L59" s="23">
        <f t="shared" si="14"/>
        <v>0</v>
      </c>
      <c r="M59" s="5" t="s">
        <v>823</v>
      </c>
      <c r="N59" s="5" t="s">
        <v>823</v>
      </c>
      <c r="O59" s="5" t="s">
        <v>823</v>
      </c>
      <c r="P59" s="5" t="s">
        <v>823</v>
      </c>
      <c r="AU59" s="14"/>
      <c r="AV59" s="31">
        <v>0</v>
      </c>
      <c r="AW59" s="3" t="s">
        <v>823</v>
      </c>
    </row>
    <row r="60" spans="1:49" ht="28.5" customHeight="1" x14ac:dyDescent="0.3">
      <c r="A60" s="5" t="s">
        <v>823</v>
      </c>
      <c r="B60" s="5" t="s">
        <v>823</v>
      </c>
      <c r="C60" s="5" t="s">
        <v>823</v>
      </c>
      <c r="D60" s="23">
        <v>0</v>
      </c>
      <c r="E60" s="28">
        <v>0</v>
      </c>
      <c r="F60" s="23">
        <f t="shared" si="10"/>
        <v>0</v>
      </c>
      <c r="G60" s="28">
        <v>0</v>
      </c>
      <c r="H60" s="23">
        <f t="shared" si="11"/>
        <v>0</v>
      </c>
      <c r="I60" s="28">
        <v>0</v>
      </c>
      <c r="J60" s="23">
        <f t="shared" si="12"/>
        <v>0</v>
      </c>
      <c r="K60" s="28">
        <f t="shared" si="13"/>
        <v>0</v>
      </c>
      <c r="L60" s="23">
        <f t="shared" si="14"/>
        <v>0</v>
      </c>
      <c r="M60" s="5" t="s">
        <v>823</v>
      </c>
      <c r="N60" s="5" t="s">
        <v>823</v>
      </c>
      <c r="O60" s="5" t="s">
        <v>823</v>
      </c>
      <c r="P60" s="5" t="s">
        <v>823</v>
      </c>
      <c r="AU60" s="14"/>
      <c r="AV60" s="31">
        <v>0</v>
      </c>
      <c r="AW60" s="3" t="s">
        <v>823</v>
      </c>
    </row>
    <row r="61" spans="1:49" ht="28.5" customHeight="1" x14ac:dyDescent="0.3">
      <c r="A61" s="5" t="s">
        <v>823</v>
      </c>
      <c r="B61" s="5" t="s">
        <v>823</v>
      </c>
      <c r="C61" s="5" t="s">
        <v>823</v>
      </c>
      <c r="D61" s="23">
        <v>0</v>
      </c>
      <c r="E61" s="28">
        <v>0</v>
      </c>
      <c r="F61" s="23">
        <f t="shared" si="10"/>
        <v>0</v>
      </c>
      <c r="G61" s="28">
        <v>0</v>
      </c>
      <c r="H61" s="23">
        <f t="shared" si="11"/>
        <v>0</v>
      </c>
      <c r="I61" s="28">
        <v>0</v>
      </c>
      <c r="J61" s="23">
        <f t="shared" si="12"/>
        <v>0</v>
      </c>
      <c r="K61" s="28">
        <f t="shared" si="13"/>
        <v>0</v>
      </c>
      <c r="L61" s="23">
        <f t="shared" si="14"/>
        <v>0</v>
      </c>
      <c r="M61" s="5" t="s">
        <v>823</v>
      </c>
      <c r="N61" s="5" t="s">
        <v>823</v>
      </c>
      <c r="O61" s="5" t="s">
        <v>823</v>
      </c>
      <c r="P61" s="5" t="s">
        <v>823</v>
      </c>
      <c r="AU61" s="14"/>
      <c r="AV61" s="31">
        <v>0</v>
      </c>
      <c r="AW61" s="3" t="s">
        <v>823</v>
      </c>
    </row>
    <row r="62" spans="1:49" ht="28.5" customHeight="1" x14ac:dyDescent="0.3">
      <c r="A62" s="5" t="s">
        <v>823</v>
      </c>
      <c r="B62" s="5" t="s">
        <v>823</v>
      </c>
      <c r="C62" s="5" t="s">
        <v>823</v>
      </c>
      <c r="D62" s="23">
        <v>0</v>
      </c>
      <c r="E62" s="28">
        <v>0</v>
      </c>
      <c r="F62" s="23">
        <f t="shared" si="10"/>
        <v>0</v>
      </c>
      <c r="G62" s="28">
        <v>0</v>
      </c>
      <c r="H62" s="23">
        <f t="shared" si="11"/>
        <v>0</v>
      </c>
      <c r="I62" s="28">
        <v>0</v>
      </c>
      <c r="J62" s="23">
        <f t="shared" si="12"/>
        <v>0</v>
      </c>
      <c r="K62" s="28">
        <f t="shared" si="13"/>
        <v>0</v>
      </c>
      <c r="L62" s="23">
        <f t="shared" si="14"/>
        <v>0</v>
      </c>
      <c r="M62" s="5" t="s">
        <v>823</v>
      </c>
      <c r="N62" s="5" t="s">
        <v>823</v>
      </c>
      <c r="O62" s="5" t="s">
        <v>823</v>
      </c>
      <c r="P62" s="5" t="s">
        <v>823</v>
      </c>
      <c r="AU62" s="14"/>
      <c r="AV62" s="31">
        <v>0</v>
      </c>
      <c r="AW62" s="3" t="s">
        <v>823</v>
      </c>
    </row>
    <row r="63" spans="1:49" ht="28.5" customHeight="1" x14ac:dyDescent="0.3">
      <c r="A63" s="5" t="s">
        <v>823</v>
      </c>
      <c r="B63" s="5" t="s">
        <v>823</v>
      </c>
      <c r="C63" s="5" t="s">
        <v>823</v>
      </c>
      <c r="D63" s="23">
        <v>0</v>
      </c>
      <c r="E63" s="28">
        <v>0</v>
      </c>
      <c r="F63" s="23">
        <f t="shared" si="10"/>
        <v>0</v>
      </c>
      <c r="G63" s="28">
        <v>0</v>
      </c>
      <c r="H63" s="23">
        <f t="shared" si="11"/>
        <v>0</v>
      </c>
      <c r="I63" s="28">
        <v>0</v>
      </c>
      <c r="J63" s="23">
        <f t="shared" si="12"/>
        <v>0</v>
      </c>
      <c r="K63" s="28">
        <f t="shared" si="13"/>
        <v>0</v>
      </c>
      <c r="L63" s="23">
        <f t="shared" si="14"/>
        <v>0</v>
      </c>
      <c r="M63" s="5" t="s">
        <v>823</v>
      </c>
      <c r="N63" s="5" t="s">
        <v>823</v>
      </c>
      <c r="O63" s="5" t="s">
        <v>823</v>
      </c>
      <c r="P63" s="5" t="s">
        <v>823</v>
      </c>
      <c r="AU63" s="14"/>
      <c r="AV63" s="31">
        <v>0</v>
      </c>
      <c r="AW63" s="3" t="s">
        <v>823</v>
      </c>
    </row>
    <row r="64" spans="1:49" ht="28.5" customHeight="1" x14ac:dyDescent="0.3">
      <c r="A64" s="5" t="s">
        <v>823</v>
      </c>
      <c r="B64" s="5" t="s">
        <v>823</v>
      </c>
      <c r="C64" s="5" t="s">
        <v>823</v>
      </c>
      <c r="D64" s="23">
        <v>0</v>
      </c>
      <c r="E64" s="28">
        <v>0</v>
      </c>
      <c r="F64" s="23">
        <f t="shared" si="10"/>
        <v>0</v>
      </c>
      <c r="G64" s="28">
        <v>0</v>
      </c>
      <c r="H64" s="23">
        <f t="shared" si="11"/>
        <v>0</v>
      </c>
      <c r="I64" s="28">
        <v>0</v>
      </c>
      <c r="J64" s="23">
        <f t="shared" si="12"/>
        <v>0</v>
      </c>
      <c r="K64" s="28">
        <f t="shared" si="13"/>
        <v>0</v>
      </c>
      <c r="L64" s="23">
        <f t="shared" si="14"/>
        <v>0</v>
      </c>
      <c r="M64" s="5" t="s">
        <v>823</v>
      </c>
      <c r="N64" s="5" t="s">
        <v>823</v>
      </c>
      <c r="O64" s="5" t="s">
        <v>823</v>
      </c>
      <c r="P64" s="5" t="s">
        <v>823</v>
      </c>
      <c r="AU64" s="14"/>
      <c r="AV64" s="31">
        <v>0</v>
      </c>
      <c r="AW64" s="3" t="s">
        <v>823</v>
      </c>
    </row>
    <row r="65" spans="1:49" ht="28.5" customHeight="1" x14ac:dyDescent="0.3">
      <c r="A65" s="5" t="s">
        <v>823</v>
      </c>
      <c r="B65" s="5" t="s">
        <v>823</v>
      </c>
      <c r="C65" s="5" t="s">
        <v>823</v>
      </c>
      <c r="D65" s="23">
        <v>0</v>
      </c>
      <c r="E65" s="28">
        <v>0</v>
      </c>
      <c r="F65" s="23">
        <f t="shared" si="10"/>
        <v>0</v>
      </c>
      <c r="G65" s="28">
        <v>0</v>
      </c>
      <c r="H65" s="23">
        <f t="shared" si="11"/>
        <v>0</v>
      </c>
      <c r="I65" s="28">
        <v>0</v>
      </c>
      <c r="J65" s="23">
        <f t="shared" si="12"/>
        <v>0</v>
      </c>
      <c r="K65" s="28">
        <f t="shared" si="13"/>
        <v>0</v>
      </c>
      <c r="L65" s="23">
        <f t="shared" si="14"/>
        <v>0</v>
      </c>
      <c r="M65" s="5" t="s">
        <v>823</v>
      </c>
      <c r="N65" s="5" t="s">
        <v>823</v>
      </c>
      <c r="O65" s="5" t="s">
        <v>823</v>
      </c>
      <c r="P65" s="5" t="s">
        <v>823</v>
      </c>
      <c r="AU65" s="14"/>
      <c r="AV65" s="31">
        <v>0</v>
      </c>
      <c r="AW65" s="3" t="s">
        <v>823</v>
      </c>
    </row>
    <row r="66" spans="1:49" ht="28.5" customHeight="1" x14ac:dyDescent="0.3">
      <c r="A66" s="5" t="s">
        <v>823</v>
      </c>
      <c r="B66" s="5" t="s">
        <v>823</v>
      </c>
      <c r="C66" s="5" t="s">
        <v>823</v>
      </c>
      <c r="D66" s="23">
        <v>0</v>
      </c>
      <c r="E66" s="28">
        <v>0</v>
      </c>
      <c r="F66" s="23">
        <f t="shared" si="10"/>
        <v>0</v>
      </c>
      <c r="G66" s="28">
        <v>0</v>
      </c>
      <c r="H66" s="23">
        <f t="shared" si="11"/>
        <v>0</v>
      </c>
      <c r="I66" s="28">
        <v>0</v>
      </c>
      <c r="J66" s="23">
        <f t="shared" si="12"/>
        <v>0</v>
      </c>
      <c r="K66" s="28">
        <f t="shared" si="13"/>
        <v>0</v>
      </c>
      <c r="L66" s="23">
        <f t="shared" si="14"/>
        <v>0</v>
      </c>
      <c r="M66" s="5" t="s">
        <v>823</v>
      </c>
      <c r="N66" s="5" t="s">
        <v>823</v>
      </c>
      <c r="O66" s="5" t="s">
        <v>823</v>
      </c>
      <c r="P66" s="5" t="s">
        <v>823</v>
      </c>
      <c r="AU66" s="14"/>
      <c r="AV66" s="31">
        <v>0</v>
      </c>
      <c r="AW66" s="3" t="s">
        <v>823</v>
      </c>
    </row>
    <row r="67" spans="1:49" ht="28.5" customHeight="1" x14ac:dyDescent="0.3">
      <c r="A67" s="5" t="s">
        <v>823</v>
      </c>
      <c r="B67" s="5" t="s">
        <v>823</v>
      </c>
      <c r="C67" s="5" t="s">
        <v>823</v>
      </c>
      <c r="D67" s="23">
        <v>0</v>
      </c>
      <c r="E67" s="28">
        <v>0</v>
      </c>
      <c r="F67" s="23">
        <f t="shared" si="10"/>
        <v>0</v>
      </c>
      <c r="G67" s="28">
        <v>0</v>
      </c>
      <c r="H67" s="23">
        <f t="shared" si="11"/>
        <v>0</v>
      </c>
      <c r="I67" s="28">
        <v>0</v>
      </c>
      <c r="J67" s="23">
        <f t="shared" si="12"/>
        <v>0</v>
      </c>
      <c r="K67" s="28">
        <f t="shared" si="13"/>
        <v>0</v>
      </c>
      <c r="L67" s="23">
        <f t="shared" si="14"/>
        <v>0</v>
      </c>
      <c r="M67" s="5" t="s">
        <v>823</v>
      </c>
      <c r="N67" s="5" t="s">
        <v>823</v>
      </c>
      <c r="O67" s="5" t="s">
        <v>823</v>
      </c>
      <c r="P67" s="5" t="s">
        <v>823</v>
      </c>
      <c r="AU67" s="14"/>
      <c r="AV67" s="31">
        <v>0</v>
      </c>
      <c r="AW67" s="3" t="s">
        <v>823</v>
      </c>
    </row>
    <row r="68" spans="1:49" ht="28.5" customHeight="1" x14ac:dyDescent="0.3">
      <c r="A68" s="5" t="s">
        <v>823</v>
      </c>
      <c r="B68" s="5" t="s">
        <v>823</v>
      </c>
      <c r="C68" s="5" t="s">
        <v>823</v>
      </c>
      <c r="D68" s="23">
        <v>0</v>
      </c>
      <c r="E68" s="28">
        <v>0</v>
      </c>
      <c r="F68" s="23">
        <f t="shared" si="10"/>
        <v>0</v>
      </c>
      <c r="G68" s="28">
        <v>0</v>
      </c>
      <c r="H68" s="23">
        <f t="shared" si="11"/>
        <v>0</v>
      </c>
      <c r="I68" s="28">
        <v>0</v>
      </c>
      <c r="J68" s="23">
        <f t="shared" si="12"/>
        <v>0</v>
      </c>
      <c r="K68" s="28">
        <f t="shared" si="13"/>
        <v>0</v>
      </c>
      <c r="L68" s="23">
        <f t="shared" si="14"/>
        <v>0</v>
      </c>
      <c r="M68" s="5" t="s">
        <v>823</v>
      </c>
      <c r="N68" s="5" t="s">
        <v>823</v>
      </c>
      <c r="O68" s="5" t="s">
        <v>823</v>
      </c>
      <c r="P68" s="5" t="s">
        <v>823</v>
      </c>
      <c r="AU68" s="14"/>
      <c r="AV68" s="31">
        <v>0</v>
      </c>
      <c r="AW68" s="3" t="s">
        <v>823</v>
      </c>
    </row>
    <row r="69" spans="1:49" ht="28.5" customHeight="1" x14ac:dyDescent="0.3">
      <c r="A69" s="5" t="s">
        <v>823</v>
      </c>
      <c r="B69" s="5" t="s">
        <v>823</v>
      </c>
      <c r="C69" s="5" t="s">
        <v>823</v>
      </c>
      <c r="D69" s="23">
        <v>0</v>
      </c>
      <c r="E69" s="28">
        <v>0</v>
      </c>
      <c r="F69" s="23">
        <f t="shared" si="10"/>
        <v>0</v>
      </c>
      <c r="G69" s="28">
        <v>0</v>
      </c>
      <c r="H69" s="23">
        <f t="shared" si="11"/>
        <v>0</v>
      </c>
      <c r="I69" s="28">
        <v>0</v>
      </c>
      <c r="J69" s="23">
        <f t="shared" si="12"/>
        <v>0</v>
      </c>
      <c r="K69" s="28">
        <f t="shared" si="13"/>
        <v>0</v>
      </c>
      <c r="L69" s="23">
        <f t="shared" si="14"/>
        <v>0</v>
      </c>
      <c r="M69" s="5" t="s">
        <v>823</v>
      </c>
      <c r="N69" s="5" t="s">
        <v>823</v>
      </c>
      <c r="O69" s="5" t="s">
        <v>823</v>
      </c>
      <c r="P69" s="5" t="s">
        <v>823</v>
      </c>
      <c r="AU69" s="14"/>
      <c r="AV69" s="31">
        <v>0</v>
      </c>
      <c r="AW69" s="3" t="s">
        <v>823</v>
      </c>
    </row>
    <row r="70" spans="1:49" ht="28.5" customHeight="1" x14ac:dyDescent="0.3">
      <c r="A70" s="5" t="s">
        <v>823</v>
      </c>
      <c r="B70" s="5" t="s">
        <v>823</v>
      </c>
      <c r="C70" s="5" t="s">
        <v>823</v>
      </c>
      <c r="D70" s="23">
        <v>0</v>
      </c>
      <c r="E70" s="28">
        <v>0</v>
      </c>
      <c r="F70" s="23">
        <f t="shared" si="10"/>
        <v>0</v>
      </c>
      <c r="G70" s="28">
        <v>0</v>
      </c>
      <c r="H70" s="23">
        <f t="shared" si="11"/>
        <v>0</v>
      </c>
      <c r="I70" s="28">
        <v>0</v>
      </c>
      <c r="J70" s="23">
        <f t="shared" si="12"/>
        <v>0</v>
      </c>
      <c r="K70" s="28">
        <f t="shared" si="13"/>
        <v>0</v>
      </c>
      <c r="L70" s="23">
        <f t="shared" si="14"/>
        <v>0</v>
      </c>
      <c r="M70" s="5" t="s">
        <v>823</v>
      </c>
      <c r="N70" s="5" t="s">
        <v>823</v>
      </c>
      <c r="O70" s="5" t="s">
        <v>823</v>
      </c>
      <c r="P70" s="5" t="s">
        <v>823</v>
      </c>
      <c r="AU70" s="14"/>
      <c r="AV70" s="31">
        <v>0</v>
      </c>
      <c r="AW70" s="3" t="s">
        <v>823</v>
      </c>
    </row>
    <row r="71" spans="1:49" ht="28.5" customHeight="1" x14ac:dyDescent="0.3">
      <c r="A71" s="5" t="s">
        <v>823</v>
      </c>
      <c r="B71" s="5" t="s">
        <v>823</v>
      </c>
      <c r="C71" s="5" t="s">
        <v>823</v>
      </c>
      <c r="D71" s="23">
        <v>0</v>
      </c>
      <c r="E71" s="28">
        <v>0</v>
      </c>
      <c r="F71" s="23">
        <f t="shared" si="10"/>
        <v>0</v>
      </c>
      <c r="G71" s="28">
        <v>0</v>
      </c>
      <c r="H71" s="23">
        <f t="shared" si="11"/>
        <v>0</v>
      </c>
      <c r="I71" s="28">
        <v>0</v>
      </c>
      <c r="J71" s="23">
        <f t="shared" si="12"/>
        <v>0</v>
      </c>
      <c r="K71" s="28">
        <f t="shared" si="13"/>
        <v>0</v>
      </c>
      <c r="L71" s="23">
        <f t="shared" si="14"/>
        <v>0</v>
      </c>
      <c r="M71" s="5" t="s">
        <v>823</v>
      </c>
      <c r="N71" s="5" t="s">
        <v>823</v>
      </c>
      <c r="O71" s="5" t="s">
        <v>823</v>
      </c>
      <c r="P71" s="5" t="s">
        <v>823</v>
      </c>
      <c r="AU71" s="14"/>
      <c r="AV71" s="31">
        <v>0</v>
      </c>
      <c r="AW71" s="3" t="s">
        <v>823</v>
      </c>
    </row>
    <row r="72" spans="1:49" ht="28.5" customHeight="1" x14ac:dyDescent="0.3">
      <c r="A72" s="5" t="s">
        <v>823</v>
      </c>
      <c r="B72" s="5" t="s">
        <v>823</v>
      </c>
      <c r="C72" s="5" t="s">
        <v>823</v>
      </c>
      <c r="D72" s="23">
        <v>0</v>
      </c>
      <c r="E72" s="28">
        <v>0</v>
      </c>
      <c r="F72" s="23">
        <f t="shared" si="10"/>
        <v>0</v>
      </c>
      <c r="G72" s="28">
        <v>0</v>
      </c>
      <c r="H72" s="23">
        <f t="shared" si="11"/>
        <v>0</v>
      </c>
      <c r="I72" s="28">
        <v>0</v>
      </c>
      <c r="J72" s="23">
        <f t="shared" si="12"/>
        <v>0</v>
      </c>
      <c r="K72" s="28">
        <f t="shared" si="13"/>
        <v>0</v>
      </c>
      <c r="L72" s="23">
        <f t="shared" si="14"/>
        <v>0</v>
      </c>
      <c r="M72" s="5" t="s">
        <v>823</v>
      </c>
      <c r="N72" s="5" t="s">
        <v>823</v>
      </c>
      <c r="O72" s="5" t="s">
        <v>823</v>
      </c>
      <c r="P72" s="5" t="s">
        <v>823</v>
      </c>
      <c r="AU72" s="14"/>
      <c r="AV72" s="31">
        <v>0</v>
      </c>
      <c r="AW72" s="3" t="s">
        <v>823</v>
      </c>
    </row>
    <row r="73" spans="1:49" ht="28.5" customHeight="1" x14ac:dyDescent="0.3">
      <c r="A73" s="5" t="s">
        <v>823</v>
      </c>
      <c r="B73" s="5" t="s">
        <v>823</v>
      </c>
      <c r="C73" s="5" t="s">
        <v>823</v>
      </c>
      <c r="D73" s="23">
        <v>0</v>
      </c>
      <c r="E73" s="28">
        <v>0</v>
      </c>
      <c r="F73" s="23">
        <f t="shared" si="10"/>
        <v>0</v>
      </c>
      <c r="G73" s="28">
        <v>0</v>
      </c>
      <c r="H73" s="23">
        <f t="shared" si="11"/>
        <v>0</v>
      </c>
      <c r="I73" s="28">
        <v>0</v>
      </c>
      <c r="J73" s="23">
        <f t="shared" si="12"/>
        <v>0</v>
      </c>
      <c r="K73" s="28">
        <f t="shared" si="13"/>
        <v>0</v>
      </c>
      <c r="L73" s="23">
        <f t="shared" si="14"/>
        <v>0</v>
      </c>
      <c r="M73" s="5" t="s">
        <v>823</v>
      </c>
      <c r="N73" s="5" t="s">
        <v>823</v>
      </c>
      <c r="O73" s="5" t="s">
        <v>823</v>
      </c>
      <c r="P73" s="5" t="s">
        <v>823</v>
      </c>
      <c r="AU73" s="14"/>
      <c r="AV73" s="31">
        <v>0</v>
      </c>
      <c r="AW73" s="3" t="s">
        <v>823</v>
      </c>
    </row>
    <row r="74" spans="1:49" ht="28.5" customHeight="1" x14ac:dyDescent="0.3">
      <c r="A74" s="5" t="s">
        <v>823</v>
      </c>
      <c r="B74" s="5" t="s">
        <v>823</v>
      </c>
      <c r="C74" s="5" t="s">
        <v>823</v>
      </c>
      <c r="D74" s="23">
        <v>0</v>
      </c>
      <c r="E74" s="28">
        <v>0</v>
      </c>
      <c r="F74" s="23">
        <f t="shared" si="10"/>
        <v>0</v>
      </c>
      <c r="G74" s="28">
        <v>0</v>
      </c>
      <c r="H74" s="23">
        <f t="shared" si="11"/>
        <v>0</v>
      </c>
      <c r="I74" s="28">
        <v>0</v>
      </c>
      <c r="J74" s="23">
        <f t="shared" si="12"/>
        <v>0</v>
      </c>
      <c r="K74" s="28">
        <f t="shared" si="13"/>
        <v>0</v>
      </c>
      <c r="L74" s="23">
        <f t="shared" si="14"/>
        <v>0</v>
      </c>
      <c r="M74" s="5" t="s">
        <v>823</v>
      </c>
      <c r="N74" s="5" t="s">
        <v>823</v>
      </c>
      <c r="O74" s="5" t="s">
        <v>823</v>
      </c>
      <c r="P74" s="5" t="s">
        <v>823</v>
      </c>
      <c r="AU74" s="14"/>
      <c r="AV74" s="31">
        <v>0</v>
      </c>
      <c r="AW74" s="3" t="s">
        <v>823</v>
      </c>
    </row>
    <row r="75" spans="1:49" ht="28.5" customHeight="1" x14ac:dyDescent="0.3">
      <c r="A75" s="5" t="s">
        <v>823</v>
      </c>
      <c r="B75" s="5" t="s">
        <v>823</v>
      </c>
      <c r="C75" s="5" t="s">
        <v>823</v>
      </c>
      <c r="D75" s="23">
        <v>0</v>
      </c>
      <c r="E75" s="28">
        <v>0</v>
      </c>
      <c r="F75" s="23">
        <f t="shared" si="10"/>
        <v>0</v>
      </c>
      <c r="G75" s="28">
        <v>0</v>
      </c>
      <c r="H75" s="23">
        <f t="shared" si="11"/>
        <v>0</v>
      </c>
      <c r="I75" s="28">
        <v>0</v>
      </c>
      <c r="J75" s="23">
        <f t="shared" si="12"/>
        <v>0</v>
      </c>
      <c r="K75" s="28">
        <f t="shared" si="13"/>
        <v>0</v>
      </c>
      <c r="L75" s="23">
        <f t="shared" si="14"/>
        <v>0</v>
      </c>
      <c r="M75" s="5" t="s">
        <v>823</v>
      </c>
      <c r="N75" s="5" t="s">
        <v>823</v>
      </c>
      <c r="O75" s="5" t="s">
        <v>823</v>
      </c>
      <c r="P75" s="5" t="s">
        <v>823</v>
      </c>
      <c r="AU75" s="14"/>
      <c r="AV75" s="31">
        <v>0</v>
      </c>
      <c r="AW75" s="3" t="s">
        <v>823</v>
      </c>
    </row>
    <row r="76" spans="1:49" ht="28.5" customHeight="1" x14ac:dyDescent="0.3">
      <c r="A76" s="5" t="s">
        <v>823</v>
      </c>
      <c r="B76" s="5" t="s">
        <v>823</v>
      </c>
      <c r="C76" s="5" t="s">
        <v>823</v>
      </c>
      <c r="D76" s="23">
        <v>0</v>
      </c>
      <c r="E76" s="28">
        <v>0</v>
      </c>
      <c r="F76" s="23">
        <f t="shared" si="10"/>
        <v>0</v>
      </c>
      <c r="G76" s="28">
        <v>0</v>
      </c>
      <c r="H76" s="23">
        <f t="shared" si="11"/>
        <v>0</v>
      </c>
      <c r="I76" s="28">
        <v>0</v>
      </c>
      <c r="J76" s="23">
        <f t="shared" si="12"/>
        <v>0</v>
      </c>
      <c r="K76" s="28">
        <f t="shared" si="13"/>
        <v>0</v>
      </c>
      <c r="L76" s="23">
        <f t="shared" si="14"/>
        <v>0</v>
      </c>
      <c r="M76" s="5" t="s">
        <v>823</v>
      </c>
      <c r="N76" s="5" t="s">
        <v>823</v>
      </c>
      <c r="O76" s="5" t="s">
        <v>823</v>
      </c>
      <c r="P76" s="5" t="s">
        <v>823</v>
      </c>
      <c r="AU76" s="14"/>
      <c r="AV76" s="31">
        <v>0</v>
      </c>
      <c r="AW76" s="3" t="s">
        <v>823</v>
      </c>
    </row>
    <row r="77" spans="1:49" ht="28.5" customHeight="1" x14ac:dyDescent="0.3">
      <c r="A77" s="5" t="s">
        <v>823</v>
      </c>
      <c r="B77" s="5" t="s">
        <v>823</v>
      </c>
      <c r="C77" s="5" t="s">
        <v>823</v>
      </c>
      <c r="D77" s="23">
        <v>0</v>
      </c>
      <c r="E77" s="28">
        <v>0</v>
      </c>
      <c r="F77" s="23">
        <f t="shared" si="10"/>
        <v>0</v>
      </c>
      <c r="G77" s="28">
        <v>0</v>
      </c>
      <c r="H77" s="23">
        <f t="shared" si="11"/>
        <v>0</v>
      </c>
      <c r="I77" s="28">
        <v>0</v>
      </c>
      <c r="J77" s="23">
        <f t="shared" si="12"/>
        <v>0</v>
      </c>
      <c r="K77" s="28">
        <f t="shared" si="13"/>
        <v>0</v>
      </c>
      <c r="L77" s="23">
        <f t="shared" si="14"/>
        <v>0</v>
      </c>
      <c r="M77" s="5" t="s">
        <v>823</v>
      </c>
      <c r="N77" s="5" t="s">
        <v>823</v>
      </c>
      <c r="O77" s="5" t="s">
        <v>823</v>
      </c>
      <c r="P77" s="5" t="s">
        <v>823</v>
      </c>
      <c r="AU77" s="14"/>
      <c r="AV77" s="31">
        <v>0</v>
      </c>
      <c r="AW77" s="3" t="s">
        <v>823</v>
      </c>
    </row>
    <row r="78" spans="1:49" ht="28.5" customHeight="1" x14ac:dyDescent="0.3">
      <c r="A78" s="5" t="s">
        <v>823</v>
      </c>
      <c r="B78" s="5" t="s">
        <v>823</v>
      </c>
      <c r="C78" s="5" t="s">
        <v>823</v>
      </c>
      <c r="D78" s="23">
        <v>0</v>
      </c>
      <c r="E78" s="28">
        <v>0</v>
      </c>
      <c r="F78" s="23">
        <f t="shared" si="10"/>
        <v>0</v>
      </c>
      <c r="G78" s="28">
        <v>0</v>
      </c>
      <c r="H78" s="23">
        <f t="shared" si="11"/>
        <v>0</v>
      </c>
      <c r="I78" s="28">
        <v>0</v>
      </c>
      <c r="J78" s="23">
        <f t="shared" si="12"/>
        <v>0</v>
      </c>
      <c r="K78" s="28">
        <f t="shared" si="13"/>
        <v>0</v>
      </c>
      <c r="L78" s="23">
        <f t="shared" si="14"/>
        <v>0</v>
      </c>
      <c r="M78" s="5" t="s">
        <v>823</v>
      </c>
      <c r="N78" s="5" t="s">
        <v>823</v>
      </c>
      <c r="O78" s="5" t="s">
        <v>823</v>
      </c>
      <c r="P78" s="5" t="s">
        <v>823</v>
      </c>
      <c r="AU78" s="14"/>
      <c r="AV78" s="31">
        <v>0</v>
      </c>
      <c r="AW78" s="3" t="s">
        <v>823</v>
      </c>
    </row>
    <row r="79" spans="1:49" ht="28.5" customHeight="1" x14ac:dyDescent="0.3">
      <c r="A79" s="5" t="s">
        <v>141</v>
      </c>
      <c r="B79" s="5" t="s">
        <v>823</v>
      </c>
      <c r="C79" s="5" t="s">
        <v>823</v>
      </c>
      <c r="D79" s="5" t="s">
        <v>823</v>
      </c>
      <c r="E79" s="18">
        <v>0</v>
      </c>
      <c r="F79" s="23">
        <f>TRUNC(SUMIF(Q56:Q78, Q55,F56:F78),0)</f>
        <v>2465224</v>
      </c>
      <c r="G79" s="23">
        <v>0</v>
      </c>
      <c r="H79" s="23">
        <f>TRUNC(SUMIF(Q56:Q78, Q55,H56:H78),0)</f>
        <v>6083177</v>
      </c>
      <c r="I79" s="23">
        <v>0</v>
      </c>
      <c r="J79" s="23">
        <f>TRUNC(SUMIF(Q56:Q78, Q55,J56:J78),0)</f>
        <v>0</v>
      </c>
      <c r="K79" s="15" t="s">
        <v>823</v>
      </c>
      <c r="L79" s="23">
        <f>F79+H79+J79</f>
        <v>8548401</v>
      </c>
      <c r="M79" s="5"/>
      <c r="AW79" s="5" t="s">
        <v>823</v>
      </c>
    </row>
    <row r="80" spans="1:49" ht="28.5" customHeight="1" x14ac:dyDescent="0.3">
      <c r="A80" s="19" t="s">
        <v>780</v>
      </c>
      <c r="B80" s="5"/>
      <c r="C80" s="5"/>
      <c r="D80" s="5" t="s">
        <v>823</v>
      </c>
      <c r="E80" s="5" t="s">
        <v>823</v>
      </c>
      <c r="F80" s="5" t="s">
        <v>823</v>
      </c>
      <c r="G80" s="5" t="s">
        <v>823</v>
      </c>
      <c r="H80" s="5" t="s">
        <v>823</v>
      </c>
      <c r="I80" s="5" t="s">
        <v>823</v>
      </c>
      <c r="J80" s="5" t="s">
        <v>823</v>
      </c>
      <c r="K80" s="5" t="s">
        <v>823</v>
      </c>
      <c r="L80" s="5" t="s">
        <v>823</v>
      </c>
      <c r="M80" s="5" t="s">
        <v>823</v>
      </c>
      <c r="N80" s="2" t="s">
        <v>823</v>
      </c>
      <c r="Q80" s="14" t="s">
        <v>488</v>
      </c>
      <c r="R80" s="31">
        <v>2009676</v>
      </c>
      <c r="S80" s="31">
        <v>0</v>
      </c>
      <c r="AH80" s="14"/>
      <c r="AW80" s="5" t="s">
        <v>823</v>
      </c>
    </row>
    <row r="81" spans="1:49" ht="28.5" customHeight="1" x14ac:dyDescent="0.3">
      <c r="A81" s="5" t="s">
        <v>812</v>
      </c>
      <c r="B81" s="29" t="s">
        <v>1022</v>
      </c>
      <c r="C81" s="5" t="s">
        <v>1004</v>
      </c>
      <c r="D81" s="10">
        <v>71.63</v>
      </c>
      <c r="E81" s="28">
        <f>TRUNC(TRUNC(일위대가목록!E28,0)*AV81/100,0)</f>
        <v>12383</v>
      </c>
      <c r="F81" s="23">
        <f t="shared" ref="F81:F103" si="15">TRUNC(D81*E81,0)</f>
        <v>886994</v>
      </c>
      <c r="G81" s="28">
        <f>TRUNC(TRUNC(일위대가목록!F28,0)*AV81/100,0)</f>
        <v>10477</v>
      </c>
      <c r="H81" s="23">
        <f t="shared" ref="H81:H103" si="16">TRUNC(D81*G81,0)</f>
        <v>750467</v>
      </c>
      <c r="I81" s="28">
        <f>TRUNC(TRUNC(일위대가목록!G28,0)*AV81/100,0)</f>
        <v>0</v>
      </c>
      <c r="J81" s="23">
        <f t="shared" ref="J81:J103" si="17">TRUNC(D81*I81,0)</f>
        <v>0</v>
      </c>
      <c r="K81" s="28">
        <f t="shared" ref="K81:K103" si="18">TRUNC(E81+G81+I81,0)</f>
        <v>22860</v>
      </c>
      <c r="L81" s="23">
        <f t="shared" ref="L81:L103" si="19">TRUNC(F81+H81+J81,0)</f>
        <v>1637461</v>
      </c>
      <c r="M81" s="29" t="s">
        <v>823</v>
      </c>
      <c r="N81" s="13" t="str">
        <f>HYPERLINK("#일위대가목록!A28", "AOC600010700")</f>
        <v>AOC600010700</v>
      </c>
      <c r="O81" s="14" t="s">
        <v>823</v>
      </c>
      <c r="P81" s="14" t="s">
        <v>823</v>
      </c>
      <c r="Q81" s="14" t="s">
        <v>488</v>
      </c>
      <c r="R81" s="31">
        <v>2009676</v>
      </c>
      <c r="S81" s="31">
        <v>10</v>
      </c>
      <c r="T81" s="14" t="s">
        <v>904</v>
      </c>
      <c r="U81" s="14" t="s">
        <v>510</v>
      </c>
      <c r="V81" s="14" t="s">
        <v>510</v>
      </c>
      <c r="W81" s="14" t="s">
        <v>823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100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14"/>
      <c r="AV81" s="31">
        <v>100</v>
      </c>
      <c r="AW81" s="3" t="s">
        <v>1303</v>
      </c>
    </row>
    <row r="82" spans="1:49" ht="28.5" customHeight="1" x14ac:dyDescent="0.3">
      <c r="A82" s="5" t="s">
        <v>823</v>
      </c>
      <c r="B82" s="5" t="s">
        <v>823</v>
      </c>
      <c r="C82" s="5" t="s">
        <v>823</v>
      </c>
      <c r="D82" s="23">
        <v>0</v>
      </c>
      <c r="E82" s="28">
        <v>0</v>
      </c>
      <c r="F82" s="23">
        <f t="shared" si="15"/>
        <v>0</v>
      </c>
      <c r="G82" s="28">
        <v>0</v>
      </c>
      <c r="H82" s="23">
        <f t="shared" si="16"/>
        <v>0</v>
      </c>
      <c r="I82" s="28">
        <v>0</v>
      </c>
      <c r="J82" s="23">
        <f t="shared" si="17"/>
        <v>0</v>
      </c>
      <c r="K82" s="28">
        <f t="shared" si="18"/>
        <v>0</v>
      </c>
      <c r="L82" s="23">
        <f t="shared" si="19"/>
        <v>0</v>
      </c>
      <c r="M82" s="5" t="s">
        <v>823</v>
      </c>
      <c r="N82" s="5" t="s">
        <v>823</v>
      </c>
      <c r="O82" s="5" t="s">
        <v>823</v>
      </c>
      <c r="P82" s="5" t="s">
        <v>823</v>
      </c>
      <c r="AU82" s="14"/>
      <c r="AV82" s="31">
        <v>0</v>
      </c>
      <c r="AW82" s="3" t="s">
        <v>823</v>
      </c>
    </row>
    <row r="83" spans="1:49" ht="28.5" customHeight="1" x14ac:dyDescent="0.3">
      <c r="A83" s="5" t="s">
        <v>823</v>
      </c>
      <c r="B83" s="5" t="s">
        <v>823</v>
      </c>
      <c r="C83" s="5" t="s">
        <v>823</v>
      </c>
      <c r="D83" s="23">
        <v>0</v>
      </c>
      <c r="E83" s="28">
        <v>0</v>
      </c>
      <c r="F83" s="23">
        <f t="shared" si="15"/>
        <v>0</v>
      </c>
      <c r="G83" s="28">
        <v>0</v>
      </c>
      <c r="H83" s="23">
        <f t="shared" si="16"/>
        <v>0</v>
      </c>
      <c r="I83" s="28">
        <v>0</v>
      </c>
      <c r="J83" s="23">
        <f t="shared" si="17"/>
        <v>0</v>
      </c>
      <c r="K83" s="28">
        <f t="shared" si="18"/>
        <v>0</v>
      </c>
      <c r="L83" s="23">
        <f t="shared" si="19"/>
        <v>0</v>
      </c>
      <c r="M83" s="5" t="s">
        <v>823</v>
      </c>
      <c r="N83" s="5" t="s">
        <v>823</v>
      </c>
      <c r="O83" s="5" t="s">
        <v>823</v>
      </c>
      <c r="P83" s="5" t="s">
        <v>823</v>
      </c>
      <c r="AU83" s="14"/>
      <c r="AV83" s="31">
        <v>0</v>
      </c>
      <c r="AW83" s="3" t="s">
        <v>823</v>
      </c>
    </row>
    <row r="84" spans="1:49" ht="28.5" customHeight="1" x14ac:dyDescent="0.3">
      <c r="A84" s="5" t="s">
        <v>823</v>
      </c>
      <c r="B84" s="5" t="s">
        <v>823</v>
      </c>
      <c r="C84" s="5" t="s">
        <v>823</v>
      </c>
      <c r="D84" s="23">
        <v>0</v>
      </c>
      <c r="E84" s="28">
        <v>0</v>
      </c>
      <c r="F84" s="23">
        <f t="shared" si="15"/>
        <v>0</v>
      </c>
      <c r="G84" s="28">
        <v>0</v>
      </c>
      <c r="H84" s="23">
        <f t="shared" si="16"/>
        <v>0</v>
      </c>
      <c r="I84" s="28">
        <v>0</v>
      </c>
      <c r="J84" s="23">
        <f t="shared" si="17"/>
        <v>0</v>
      </c>
      <c r="K84" s="28">
        <f t="shared" si="18"/>
        <v>0</v>
      </c>
      <c r="L84" s="23">
        <f t="shared" si="19"/>
        <v>0</v>
      </c>
      <c r="M84" s="5" t="s">
        <v>823</v>
      </c>
      <c r="N84" s="5" t="s">
        <v>823</v>
      </c>
      <c r="O84" s="5" t="s">
        <v>823</v>
      </c>
      <c r="P84" s="5" t="s">
        <v>823</v>
      </c>
      <c r="AU84" s="14"/>
      <c r="AV84" s="31">
        <v>0</v>
      </c>
      <c r="AW84" s="3" t="s">
        <v>823</v>
      </c>
    </row>
    <row r="85" spans="1:49" ht="28.5" customHeight="1" x14ac:dyDescent="0.3">
      <c r="A85" s="5" t="s">
        <v>823</v>
      </c>
      <c r="B85" s="5" t="s">
        <v>823</v>
      </c>
      <c r="C85" s="5" t="s">
        <v>823</v>
      </c>
      <c r="D85" s="23">
        <v>0</v>
      </c>
      <c r="E85" s="28">
        <v>0</v>
      </c>
      <c r="F85" s="23">
        <f t="shared" si="15"/>
        <v>0</v>
      </c>
      <c r="G85" s="28">
        <v>0</v>
      </c>
      <c r="H85" s="23">
        <f t="shared" si="16"/>
        <v>0</v>
      </c>
      <c r="I85" s="28">
        <v>0</v>
      </c>
      <c r="J85" s="23">
        <f t="shared" si="17"/>
        <v>0</v>
      </c>
      <c r="K85" s="28">
        <f t="shared" si="18"/>
        <v>0</v>
      </c>
      <c r="L85" s="23">
        <f t="shared" si="19"/>
        <v>0</v>
      </c>
      <c r="M85" s="5" t="s">
        <v>823</v>
      </c>
      <c r="N85" s="5" t="s">
        <v>823</v>
      </c>
      <c r="O85" s="5" t="s">
        <v>823</v>
      </c>
      <c r="P85" s="5" t="s">
        <v>823</v>
      </c>
      <c r="AU85" s="14"/>
      <c r="AV85" s="31">
        <v>0</v>
      </c>
      <c r="AW85" s="3" t="s">
        <v>823</v>
      </c>
    </row>
    <row r="86" spans="1:49" ht="28.5" customHeight="1" x14ac:dyDescent="0.3">
      <c r="A86" s="5" t="s">
        <v>823</v>
      </c>
      <c r="B86" s="5" t="s">
        <v>823</v>
      </c>
      <c r="C86" s="5" t="s">
        <v>823</v>
      </c>
      <c r="D86" s="23">
        <v>0</v>
      </c>
      <c r="E86" s="28">
        <v>0</v>
      </c>
      <c r="F86" s="23">
        <f t="shared" si="15"/>
        <v>0</v>
      </c>
      <c r="G86" s="28">
        <v>0</v>
      </c>
      <c r="H86" s="23">
        <f t="shared" si="16"/>
        <v>0</v>
      </c>
      <c r="I86" s="28">
        <v>0</v>
      </c>
      <c r="J86" s="23">
        <f t="shared" si="17"/>
        <v>0</v>
      </c>
      <c r="K86" s="28">
        <f t="shared" si="18"/>
        <v>0</v>
      </c>
      <c r="L86" s="23">
        <f t="shared" si="19"/>
        <v>0</v>
      </c>
      <c r="M86" s="5" t="s">
        <v>823</v>
      </c>
      <c r="N86" s="5" t="s">
        <v>823</v>
      </c>
      <c r="O86" s="5" t="s">
        <v>823</v>
      </c>
      <c r="P86" s="5" t="s">
        <v>823</v>
      </c>
      <c r="AU86" s="14"/>
      <c r="AV86" s="31">
        <v>0</v>
      </c>
      <c r="AW86" s="3" t="s">
        <v>823</v>
      </c>
    </row>
    <row r="87" spans="1:49" ht="28.5" customHeight="1" x14ac:dyDescent="0.3">
      <c r="A87" s="5" t="s">
        <v>823</v>
      </c>
      <c r="B87" s="5" t="s">
        <v>823</v>
      </c>
      <c r="C87" s="5" t="s">
        <v>823</v>
      </c>
      <c r="D87" s="23">
        <v>0</v>
      </c>
      <c r="E87" s="28">
        <v>0</v>
      </c>
      <c r="F87" s="23">
        <f t="shared" si="15"/>
        <v>0</v>
      </c>
      <c r="G87" s="28">
        <v>0</v>
      </c>
      <c r="H87" s="23">
        <f t="shared" si="16"/>
        <v>0</v>
      </c>
      <c r="I87" s="28">
        <v>0</v>
      </c>
      <c r="J87" s="23">
        <f t="shared" si="17"/>
        <v>0</v>
      </c>
      <c r="K87" s="28">
        <f t="shared" si="18"/>
        <v>0</v>
      </c>
      <c r="L87" s="23">
        <f t="shared" si="19"/>
        <v>0</v>
      </c>
      <c r="M87" s="5" t="s">
        <v>823</v>
      </c>
      <c r="N87" s="5" t="s">
        <v>823</v>
      </c>
      <c r="O87" s="5" t="s">
        <v>823</v>
      </c>
      <c r="P87" s="5" t="s">
        <v>823</v>
      </c>
      <c r="AU87" s="14"/>
      <c r="AV87" s="31">
        <v>0</v>
      </c>
      <c r="AW87" s="3" t="s">
        <v>823</v>
      </c>
    </row>
    <row r="88" spans="1:49" ht="28.5" customHeight="1" x14ac:dyDescent="0.3">
      <c r="A88" s="5" t="s">
        <v>823</v>
      </c>
      <c r="B88" s="5" t="s">
        <v>823</v>
      </c>
      <c r="C88" s="5" t="s">
        <v>823</v>
      </c>
      <c r="D88" s="23">
        <v>0</v>
      </c>
      <c r="E88" s="28">
        <v>0</v>
      </c>
      <c r="F88" s="23">
        <f t="shared" si="15"/>
        <v>0</v>
      </c>
      <c r="G88" s="28">
        <v>0</v>
      </c>
      <c r="H88" s="23">
        <f t="shared" si="16"/>
        <v>0</v>
      </c>
      <c r="I88" s="28">
        <v>0</v>
      </c>
      <c r="J88" s="23">
        <f t="shared" si="17"/>
        <v>0</v>
      </c>
      <c r="K88" s="28">
        <f t="shared" si="18"/>
        <v>0</v>
      </c>
      <c r="L88" s="23">
        <f t="shared" si="19"/>
        <v>0</v>
      </c>
      <c r="M88" s="5" t="s">
        <v>823</v>
      </c>
      <c r="N88" s="5" t="s">
        <v>823</v>
      </c>
      <c r="O88" s="5" t="s">
        <v>823</v>
      </c>
      <c r="P88" s="5" t="s">
        <v>823</v>
      </c>
      <c r="AU88" s="14"/>
      <c r="AV88" s="31">
        <v>0</v>
      </c>
      <c r="AW88" s="3" t="s">
        <v>823</v>
      </c>
    </row>
    <row r="89" spans="1:49" ht="28.5" customHeight="1" x14ac:dyDescent="0.3">
      <c r="A89" s="5" t="s">
        <v>823</v>
      </c>
      <c r="B89" s="5" t="s">
        <v>823</v>
      </c>
      <c r="C89" s="5" t="s">
        <v>823</v>
      </c>
      <c r="D89" s="23">
        <v>0</v>
      </c>
      <c r="E89" s="28">
        <v>0</v>
      </c>
      <c r="F89" s="23">
        <f t="shared" si="15"/>
        <v>0</v>
      </c>
      <c r="G89" s="28">
        <v>0</v>
      </c>
      <c r="H89" s="23">
        <f t="shared" si="16"/>
        <v>0</v>
      </c>
      <c r="I89" s="28">
        <v>0</v>
      </c>
      <c r="J89" s="23">
        <f t="shared" si="17"/>
        <v>0</v>
      </c>
      <c r="K89" s="28">
        <f t="shared" si="18"/>
        <v>0</v>
      </c>
      <c r="L89" s="23">
        <f t="shared" si="19"/>
        <v>0</v>
      </c>
      <c r="M89" s="5" t="s">
        <v>823</v>
      </c>
      <c r="N89" s="5" t="s">
        <v>823</v>
      </c>
      <c r="O89" s="5" t="s">
        <v>823</v>
      </c>
      <c r="P89" s="5" t="s">
        <v>823</v>
      </c>
      <c r="AU89" s="14"/>
      <c r="AV89" s="31">
        <v>0</v>
      </c>
      <c r="AW89" s="3" t="s">
        <v>823</v>
      </c>
    </row>
    <row r="90" spans="1:49" ht="28.5" customHeight="1" x14ac:dyDescent="0.3">
      <c r="A90" s="5" t="s">
        <v>823</v>
      </c>
      <c r="B90" s="5" t="s">
        <v>823</v>
      </c>
      <c r="C90" s="5" t="s">
        <v>823</v>
      </c>
      <c r="D90" s="23">
        <v>0</v>
      </c>
      <c r="E90" s="28">
        <v>0</v>
      </c>
      <c r="F90" s="23">
        <f t="shared" si="15"/>
        <v>0</v>
      </c>
      <c r="G90" s="28">
        <v>0</v>
      </c>
      <c r="H90" s="23">
        <f t="shared" si="16"/>
        <v>0</v>
      </c>
      <c r="I90" s="28">
        <v>0</v>
      </c>
      <c r="J90" s="23">
        <f t="shared" si="17"/>
        <v>0</v>
      </c>
      <c r="K90" s="28">
        <f t="shared" si="18"/>
        <v>0</v>
      </c>
      <c r="L90" s="23">
        <f t="shared" si="19"/>
        <v>0</v>
      </c>
      <c r="M90" s="5" t="s">
        <v>823</v>
      </c>
      <c r="N90" s="5" t="s">
        <v>823</v>
      </c>
      <c r="O90" s="5" t="s">
        <v>823</v>
      </c>
      <c r="P90" s="5" t="s">
        <v>823</v>
      </c>
      <c r="AU90" s="14"/>
      <c r="AV90" s="31">
        <v>0</v>
      </c>
      <c r="AW90" s="3" t="s">
        <v>823</v>
      </c>
    </row>
    <row r="91" spans="1:49" ht="28.5" customHeight="1" x14ac:dyDescent="0.3">
      <c r="A91" s="5" t="s">
        <v>823</v>
      </c>
      <c r="B91" s="5" t="s">
        <v>823</v>
      </c>
      <c r="C91" s="5" t="s">
        <v>823</v>
      </c>
      <c r="D91" s="23">
        <v>0</v>
      </c>
      <c r="E91" s="28">
        <v>0</v>
      </c>
      <c r="F91" s="23">
        <f t="shared" si="15"/>
        <v>0</v>
      </c>
      <c r="G91" s="28">
        <v>0</v>
      </c>
      <c r="H91" s="23">
        <f t="shared" si="16"/>
        <v>0</v>
      </c>
      <c r="I91" s="28">
        <v>0</v>
      </c>
      <c r="J91" s="23">
        <f t="shared" si="17"/>
        <v>0</v>
      </c>
      <c r="K91" s="28">
        <f t="shared" si="18"/>
        <v>0</v>
      </c>
      <c r="L91" s="23">
        <f t="shared" si="19"/>
        <v>0</v>
      </c>
      <c r="M91" s="5" t="s">
        <v>823</v>
      </c>
      <c r="N91" s="5" t="s">
        <v>823</v>
      </c>
      <c r="O91" s="5" t="s">
        <v>823</v>
      </c>
      <c r="P91" s="5" t="s">
        <v>823</v>
      </c>
      <c r="AU91" s="14"/>
      <c r="AV91" s="31">
        <v>0</v>
      </c>
      <c r="AW91" s="3" t="s">
        <v>823</v>
      </c>
    </row>
    <row r="92" spans="1:49" ht="28.5" customHeight="1" x14ac:dyDescent="0.3">
      <c r="A92" s="5" t="s">
        <v>823</v>
      </c>
      <c r="B92" s="5" t="s">
        <v>823</v>
      </c>
      <c r="C92" s="5" t="s">
        <v>823</v>
      </c>
      <c r="D92" s="23">
        <v>0</v>
      </c>
      <c r="E92" s="28">
        <v>0</v>
      </c>
      <c r="F92" s="23">
        <f t="shared" si="15"/>
        <v>0</v>
      </c>
      <c r="G92" s="28">
        <v>0</v>
      </c>
      <c r="H92" s="23">
        <f t="shared" si="16"/>
        <v>0</v>
      </c>
      <c r="I92" s="28">
        <v>0</v>
      </c>
      <c r="J92" s="23">
        <f t="shared" si="17"/>
        <v>0</v>
      </c>
      <c r="K92" s="28">
        <f t="shared" si="18"/>
        <v>0</v>
      </c>
      <c r="L92" s="23">
        <f t="shared" si="19"/>
        <v>0</v>
      </c>
      <c r="M92" s="5" t="s">
        <v>823</v>
      </c>
      <c r="N92" s="5" t="s">
        <v>823</v>
      </c>
      <c r="O92" s="5" t="s">
        <v>823</v>
      </c>
      <c r="P92" s="5" t="s">
        <v>823</v>
      </c>
      <c r="AU92" s="14"/>
      <c r="AV92" s="31">
        <v>0</v>
      </c>
      <c r="AW92" s="3" t="s">
        <v>823</v>
      </c>
    </row>
    <row r="93" spans="1:49" ht="28.5" customHeight="1" x14ac:dyDescent="0.3">
      <c r="A93" s="5" t="s">
        <v>823</v>
      </c>
      <c r="B93" s="5" t="s">
        <v>823</v>
      </c>
      <c r="C93" s="5" t="s">
        <v>823</v>
      </c>
      <c r="D93" s="23">
        <v>0</v>
      </c>
      <c r="E93" s="28">
        <v>0</v>
      </c>
      <c r="F93" s="23">
        <f t="shared" si="15"/>
        <v>0</v>
      </c>
      <c r="G93" s="28">
        <v>0</v>
      </c>
      <c r="H93" s="23">
        <f t="shared" si="16"/>
        <v>0</v>
      </c>
      <c r="I93" s="28">
        <v>0</v>
      </c>
      <c r="J93" s="23">
        <f t="shared" si="17"/>
        <v>0</v>
      </c>
      <c r="K93" s="28">
        <f t="shared" si="18"/>
        <v>0</v>
      </c>
      <c r="L93" s="23">
        <f t="shared" si="19"/>
        <v>0</v>
      </c>
      <c r="M93" s="5" t="s">
        <v>823</v>
      </c>
      <c r="N93" s="5" t="s">
        <v>823</v>
      </c>
      <c r="O93" s="5" t="s">
        <v>823</v>
      </c>
      <c r="P93" s="5" t="s">
        <v>823</v>
      </c>
      <c r="AU93" s="14"/>
      <c r="AV93" s="31">
        <v>0</v>
      </c>
      <c r="AW93" s="3" t="s">
        <v>823</v>
      </c>
    </row>
    <row r="94" spans="1:49" ht="28.5" customHeight="1" x14ac:dyDescent="0.3">
      <c r="A94" s="5" t="s">
        <v>823</v>
      </c>
      <c r="B94" s="5" t="s">
        <v>823</v>
      </c>
      <c r="C94" s="5" t="s">
        <v>823</v>
      </c>
      <c r="D94" s="23">
        <v>0</v>
      </c>
      <c r="E94" s="28">
        <v>0</v>
      </c>
      <c r="F94" s="23">
        <f t="shared" si="15"/>
        <v>0</v>
      </c>
      <c r="G94" s="28">
        <v>0</v>
      </c>
      <c r="H94" s="23">
        <f t="shared" si="16"/>
        <v>0</v>
      </c>
      <c r="I94" s="28">
        <v>0</v>
      </c>
      <c r="J94" s="23">
        <f t="shared" si="17"/>
        <v>0</v>
      </c>
      <c r="K94" s="28">
        <f t="shared" si="18"/>
        <v>0</v>
      </c>
      <c r="L94" s="23">
        <f t="shared" si="19"/>
        <v>0</v>
      </c>
      <c r="M94" s="5" t="s">
        <v>823</v>
      </c>
      <c r="N94" s="5" t="s">
        <v>823</v>
      </c>
      <c r="O94" s="5" t="s">
        <v>823</v>
      </c>
      <c r="P94" s="5" t="s">
        <v>823</v>
      </c>
      <c r="AU94" s="14"/>
      <c r="AV94" s="31">
        <v>0</v>
      </c>
      <c r="AW94" s="3" t="s">
        <v>823</v>
      </c>
    </row>
    <row r="95" spans="1:49" ht="28.5" customHeight="1" x14ac:dyDescent="0.3">
      <c r="A95" s="5" t="s">
        <v>823</v>
      </c>
      <c r="B95" s="5" t="s">
        <v>823</v>
      </c>
      <c r="C95" s="5" t="s">
        <v>823</v>
      </c>
      <c r="D95" s="23">
        <v>0</v>
      </c>
      <c r="E95" s="28">
        <v>0</v>
      </c>
      <c r="F95" s="23">
        <f t="shared" si="15"/>
        <v>0</v>
      </c>
      <c r="G95" s="28">
        <v>0</v>
      </c>
      <c r="H95" s="23">
        <f t="shared" si="16"/>
        <v>0</v>
      </c>
      <c r="I95" s="28">
        <v>0</v>
      </c>
      <c r="J95" s="23">
        <f t="shared" si="17"/>
        <v>0</v>
      </c>
      <c r="K95" s="28">
        <f t="shared" si="18"/>
        <v>0</v>
      </c>
      <c r="L95" s="23">
        <f t="shared" si="19"/>
        <v>0</v>
      </c>
      <c r="M95" s="5" t="s">
        <v>823</v>
      </c>
      <c r="N95" s="5" t="s">
        <v>823</v>
      </c>
      <c r="O95" s="5" t="s">
        <v>823</v>
      </c>
      <c r="P95" s="5" t="s">
        <v>823</v>
      </c>
      <c r="AU95" s="14"/>
      <c r="AV95" s="31">
        <v>0</v>
      </c>
      <c r="AW95" s="3" t="s">
        <v>823</v>
      </c>
    </row>
    <row r="96" spans="1:49" ht="28.5" customHeight="1" x14ac:dyDescent="0.3">
      <c r="A96" s="5" t="s">
        <v>823</v>
      </c>
      <c r="B96" s="5" t="s">
        <v>823</v>
      </c>
      <c r="C96" s="5" t="s">
        <v>823</v>
      </c>
      <c r="D96" s="23">
        <v>0</v>
      </c>
      <c r="E96" s="28">
        <v>0</v>
      </c>
      <c r="F96" s="23">
        <f t="shared" si="15"/>
        <v>0</v>
      </c>
      <c r="G96" s="28">
        <v>0</v>
      </c>
      <c r="H96" s="23">
        <f t="shared" si="16"/>
        <v>0</v>
      </c>
      <c r="I96" s="28">
        <v>0</v>
      </c>
      <c r="J96" s="23">
        <f t="shared" si="17"/>
        <v>0</v>
      </c>
      <c r="K96" s="28">
        <f t="shared" si="18"/>
        <v>0</v>
      </c>
      <c r="L96" s="23">
        <f t="shared" si="19"/>
        <v>0</v>
      </c>
      <c r="M96" s="5" t="s">
        <v>823</v>
      </c>
      <c r="N96" s="5" t="s">
        <v>823</v>
      </c>
      <c r="O96" s="5" t="s">
        <v>823</v>
      </c>
      <c r="P96" s="5" t="s">
        <v>823</v>
      </c>
      <c r="AU96" s="14"/>
      <c r="AV96" s="31">
        <v>0</v>
      </c>
      <c r="AW96" s="3" t="s">
        <v>823</v>
      </c>
    </row>
    <row r="97" spans="1:49" ht="28.5" customHeight="1" x14ac:dyDescent="0.3">
      <c r="A97" s="5" t="s">
        <v>823</v>
      </c>
      <c r="B97" s="5" t="s">
        <v>823</v>
      </c>
      <c r="C97" s="5" t="s">
        <v>823</v>
      </c>
      <c r="D97" s="23">
        <v>0</v>
      </c>
      <c r="E97" s="28">
        <v>0</v>
      </c>
      <c r="F97" s="23">
        <f t="shared" si="15"/>
        <v>0</v>
      </c>
      <c r="G97" s="28">
        <v>0</v>
      </c>
      <c r="H97" s="23">
        <f t="shared" si="16"/>
        <v>0</v>
      </c>
      <c r="I97" s="28">
        <v>0</v>
      </c>
      <c r="J97" s="23">
        <f t="shared" si="17"/>
        <v>0</v>
      </c>
      <c r="K97" s="28">
        <f t="shared" si="18"/>
        <v>0</v>
      </c>
      <c r="L97" s="23">
        <f t="shared" si="19"/>
        <v>0</v>
      </c>
      <c r="M97" s="5" t="s">
        <v>823</v>
      </c>
      <c r="N97" s="5" t="s">
        <v>823</v>
      </c>
      <c r="O97" s="5" t="s">
        <v>823</v>
      </c>
      <c r="P97" s="5" t="s">
        <v>823</v>
      </c>
      <c r="AU97" s="14"/>
      <c r="AV97" s="31">
        <v>0</v>
      </c>
      <c r="AW97" s="3" t="s">
        <v>823</v>
      </c>
    </row>
    <row r="98" spans="1:49" ht="28.5" customHeight="1" x14ac:dyDescent="0.3">
      <c r="A98" s="5" t="s">
        <v>823</v>
      </c>
      <c r="B98" s="5" t="s">
        <v>823</v>
      </c>
      <c r="C98" s="5" t="s">
        <v>823</v>
      </c>
      <c r="D98" s="23">
        <v>0</v>
      </c>
      <c r="E98" s="28">
        <v>0</v>
      </c>
      <c r="F98" s="23">
        <f t="shared" si="15"/>
        <v>0</v>
      </c>
      <c r="G98" s="28">
        <v>0</v>
      </c>
      <c r="H98" s="23">
        <f t="shared" si="16"/>
        <v>0</v>
      </c>
      <c r="I98" s="28">
        <v>0</v>
      </c>
      <c r="J98" s="23">
        <f t="shared" si="17"/>
        <v>0</v>
      </c>
      <c r="K98" s="28">
        <f t="shared" si="18"/>
        <v>0</v>
      </c>
      <c r="L98" s="23">
        <f t="shared" si="19"/>
        <v>0</v>
      </c>
      <c r="M98" s="5" t="s">
        <v>823</v>
      </c>
      <c r="N98" s="5" t="s">
        <v>823</v>
      </c>
      <c r="O98" s="5" t="s">
        <v>823</v>
      </c>
      <c r="P98" s="5" t="s">
        <v>823</v>
      </c>
      <c r="AU98" s="14"/>
      <c r="AV98" s="31">
        <v>0</v>
      </c>
      <c r="AW98" s="3" t="s">
        <v>823</v>
      </c>
    </row>
    <row r="99" spans="1:49" ht="28.5" customHeight="1" x14ac:dyDescent="0.3">
      <c r="A99" s="5" t="s">
        <v>823</v>
      </c>
      <c r="B99" s="5" t="s">
        <v>823</v>
      </c>
      <c r="C99" s="5" t="s">
        <v>823</v>
      </c>
      <c r="D99" s="23">
        <v>0</v>
      </c>
      <c r="E99" s="28">
        <v>0</v>
      </c>
      <c r="F99" s="23">
        <f t="shared" si="15"/>
        <v>0</v>
      </c>
      <c r="G99" s="28">
        <v>0</v>
      </c>
      <c r="H99" s="23">
        <f t="shared" si="16"/>
        <v>0</v>
      </c>
      <c r="I99" s="28">
        <v>0</v>
      </c>
      <c r="J99" s="23">
        <f t="shared" si="17"/>
        <v>0</v>
      </c>
      <c r="K99" s="28">
        <f t="shared" si="18"/>
        <v>0</v>
      </c>
      <c r="L99" s="23">
        <f t="shared" si="19"/>
        <v>0</v>
      </c>
      <c r="M99" s="5" t="s">
        <v>823</v>
      </c>
      <c r="N99" s="5" t="s">
        <v>823</v>
      </c>
      <c r="O99" s="5" t="s">
        <v>823</v>
      </c>
      <c r="P99" s="5" t="s">
        <v>823</v>
      </c>
      <c r="AU99" s="14"/>
      <c r="AV99" s="31">
        <v>0</v>
      </c>
      <c r="AW99" s="3" t="s">
        <v>823</v>
      </c>
    </row>
    <row r="100" spans="1:49" ht="28.5" customHeight="1" x14ac:dyDescent="0.3">
      <c r="A100" s="5" t="s">
        <v>823</v>
      </c>
      <c r="B100" s="5" t="s">
        <v>823</v>
      </c>
      <c r="C100" s="5" t="s">
        <v>823</v>
      </c>
      <c r="D100" s="23">
        <v>0</v>
      </c>
      <c r="E100" s="28">
        <v>0</v>
      </c>
      <c r="F100" s="23">
        <f t="shared" si="15"/>
        <v>0</v>
      </c>
      <c r="G100" s="28">
        <v>0</v>
      </c>
      <c r="H100" s="23">
        <f t="shared" si="16"/>
        <v>0</v>
      </c>
      <c r="I100" s="28">
        <v>0</v>
      </c>
      <c r="J100" s="23">
        <f t="shared" si="17"/>
        <v>0</v>
      </c>
      <c r="K100" s="28">
        <f t="shared" si="18"/>
        <v>0</v>
      </c>
      <c r="L100" s="23">
        <f t="shared" si="19"/>
        <v>0</v>
      </c>
      <c r="M100" s="5" t="s">
        <v>823</v>
      </c>
      <c r="N100" s="5" t="s">
        <v>823</v>
      </c>
      <c r="O100" s="5" t="s">
        <v>823</v>
      </c>
      <c r="P100" s="5" t="s">
        <v>823</v>
      </c>
      <c r="AU100" s="14"/>
      <c r="AV100" s="31">
        <v>0</v>
      </c>
      <c r="AW100" s="3" t="s">
        <v>823</v>
      </c>
    </row>
    <row r="101" spans="1:49" ht="28.5" customHeight="1" x14ac:dyDescent="0.3">
      <c r="A101" s="5" t="s">
        <v>823</v>
      </c>
      <c r="B101" s="5" t="s">
        <v>823</v>
      </c>
      <c r="C101" s="5" t="s">
        <v>823</v>
      </c>
      <c r="D101" s="23">
        <v>0</v>
      </c>
      <c r="E101" s="28">
        <v>0</v>
      </c>
      <c r="F101" s="23">
        <f t="shared" si="15"/>
        <v>0</v>
      </c>
      <c r="G101" s="28">
        <v>0</v>
      </c>
      <c r="H101" s="23">
        <f t="shared" si="16"/>
        <v>0</v>
      </c>
      <c r="I101" s="28">
        <v>0</v>
      </c>
      <c r="J101" s="23">
        <f t="shared" si="17"/>
        <v>0</v>
      </c>
      <c r="K101" s="28">
        <f t="shared" si="18"/>
        <v>0</v>
      </c>
      <c r="L101" s="23">
        <f t="shared" si="19"/>
        <v>0</v>
      </c>
      <c r="M101" s="5" t="s">
        <v>823</v>
      </c>
      <c r="N101" s="5" t="s">
        <v>823</v>
      </c>
      <c r="O101" s="5" t="s">
        <v>823</v>
      </c>
      <c r="P101" s="5" t="s">
        <v>823</v>
      </c>
      <c r="AU101" s="14"/>
      <c r="AV101" s="31">
        <v>0</v>
      </c>
      <c r="AW101" s="3" t="s">
        <v>823</v>
      </c>
    </row>
    <row r="102" spans="1:49" ht="28.5" customHeight="1" x14ac:dyDescent="0.3">
      <c r="A102" s="5" t="s">
        <v>823</v>
      </c>
      <c r="B102" s="5" t="s">
        <v>823</v>
      </c>
      <c r="C102" s="5" t="s">
        <v>823</v>
      </c>
      <c r="D102" s="23">
        <v>0</v>
      </c>
      <c r="E102" s="28">
        <v>0</v>
      </c>
      <c r="F102" s="23">
        <f t="shared" si="15"/>
        <v>0</v>
      </c>
      <c r="G102" s="28">
        <v>0</v>
      </c>
      <c r="H102" s="23">
        <f t="shared" si="16"/>
        <v>0</v>
      </c>
      <c r="I102" s="28">
        <v>0</v>
      </c>
      <c r="J102" s="23">
        <f t="shared" si="17"/>
        <v>0</v>
      </c>
      <c r="K102" s="28">
        <f t="shared" si="18"/>
        <v>0</v>
      </c>
      <c r="L102" s="23">
        <f t="shared" si="19"/>
        <v>0</v>
      </c>
      <c r="M102" s="5" t="s">
        <v>823</v>
      </c>
      <c r="N102" s="5" t="s">
        <v>823</v>
      </c>
      <c r="O102" s="5" t="s">
        <v>823</v>
      </c>
      <c r="P102" s="5" t="s">
        <v>823</v>
      </c>
      <c r="AU102" s="14"/>
      <c r="AV102" s="31">
        <v>0</v>
      </c>
      <c r="AW102" s="3" t="s">
        <v>823</v>
      </c>
    </row>
    <row r="103" spans="1:49" ht="28.5" customHeight="1" x14ac:dyDescent="0.3">
      <c r="A103" s="5" t="s">
        <v>823</v>
      </c>
      <c r="B103" s="5" t="s">
        <v>823</v>
      </c>
      <c r="C103" s="5" t="s">
        <v>823</v>
      </c>
      <c r="D103" s="23">
        <v>0</v>
      </c>
      <c r="E103" s="28">
        <v>0</v>
      </c>
      <c r="F103" s="23">
        <f t="shared" si="15"/>
        <v>0</v>
      </c>
      <c r="G103" s="28">
        <v>0</v>
      </c>
      <c r="H103" s="23">
        <f t="shared" si="16"/>
        <v>0</v>
      </c>
      <c r="I103" s="28">
        <v>0</v>
      </c>
      <c r="J103" s="23">
        <f t="shared" si="17"/>
        <v>0</v>
      </c>
      <c r="K103" s="28">
        <f t="shared" si="18"/>
        <v>0</v>
      </c>
      <c r="L103" s="23">
        <f t="shared" si="19"/>
        <v>0</v>
      </c>
      <c r="M103" s="5" t="s">
        <v>823</v>
      </c>
      <c r="N103" s="5" t="s">
        <v>823</v>
      </c>
      <c r="O103" s="5" t="s">
        <v>823</v>
      </c>
      <c r="P103" s="5" t="s">
        <v>823</v>
      </c>
      <c r="AU103" s="14"/>
      <c r="AV103" s="31">
        <v>0</v>
      </c>
      <c r="AW103" s="3" t="s">
        <v>823</v>
      </c>
    </row>
    <row r="104" spans="1:49" ht="28.5" customHeight="1" x14ac:dyDescent="0.3">
      <c r="A104" s="5" t="s">
        <v>141</v>
      </c>
      <c r="B104" s="5" t="s">
        <v>823</v>
      </c>
      <c r="C104" s="5" t="s">
        <v>823</v>
      </c>
      <c r="D104" s="5" t="s">
        <v>823</v>
      </c>
      <c r="E104" s="18">
        <v>0</v>
      </c>
      <c r="F104" s="23">
        <f>TRUNC(SUMIF(Q81:Q103, Q80,F81:F103),0)</f>
        <v>886994</v>
      </c>
      <c r="G104" s="23">
        <v>0</v>
      </c>
      <c r="H104" s="23">
        <f>TRUNC(SUMIF(Q81:Q103, Q80,H81:H103),0)</f>
        <v>750467</v>
      </c>
      <c r="I104" s="23">
        <v>0</v>
      </c>
      <c r="J104" s="23">
        <f>TRUNC(SUMIF(Q81:Q103, Q80,J81:J103),0)</f>
        <v>0</v>
      </c>
      <c r="K104" s="15" t="s">
        <v>823</v>
      </c>
      <c r="L104" s="23">
        <f>F104+H104+J104</f>
        <v>1637461</v>
      </c>
      <c r="M104" s="5"/>
      <c r="AW104" s="5" t="s">
        <v>823</v>
      </c>
    </row>
    <row r="105" spans="1:49" ht="28.5" customHeight="1" x14ac:dyDescent="0.3">
      <c r="A105" s="19" t="s">
        <v>1292</v>
      </c>
      <c r="B105" s="5"/>
      <c r="C105" s="5"/>
      <c r="D105" s="5" t="s">
        <v>823</v>
      </c>
      <c r="E105" s="5" t="s">
        <v>823</v>
      </c>
      <c r="F105" s="5" t="s">
        <v>823</v>
      </c>
      <c r="G105" s="5" t="s">
        <v>823</v>
      </c>
      <c r="H105" s="5" t="s">
        <v>823</v>
      </c>
      <c r="I105" s="5" t="s">
        <v>823</v>
      </c>
      <c r="J105" s="5" t="s">
        <v>823</v>
      </c>
      <c r="K105" s="5" t="s">
        <v>823</v>
      </c>
      <c r="L105" s="5" t="s">
        <v>823</v>
      </c>
      <c r="M105" s="5" t="s">
        <v>823</v>
      </c>
      <c r="N105" s="2" t="s">
        <v>823</v>
      </c>
      <c r="Q105" s="14" t="s">
        <v>1038</v>
      </c>
      <c r="R105" s="31">
        <v>2140111</v>
      </c>
      <c r="S105" s="31">
        <v>0</v>
      </c>
      <c r="AH105" s="14"/>
      <c r="AW105" s="5" t="s">
        <v>823</v>
      </c>
    </row>
    <row r="106" spans="1:49" ht="28.5" customHeight="1" x14ac:dyDescent="0.3">
      <c r="A106" s="5" t="s">
        <v>84</v>
      </c>
      <c r="B106" s="29" t="s">
        <v>823</v>
      </c>
      <c r="C106" s="5" t="s">
        <v>136</v>
      </c>
      <c r="D106" s="10">
        <v>1</v>
      </c>
      <c r="E106" s="28">
        <f>TRUNC(TRUNC(단가대비표!U80,0)*AV106/100,0)</f>
        <v>-557839</v>
      </c>
      <c r="F106" s="23">
        <f t="shared" ref="F106:F128" si="20">TRUNC(D106*E106,0)</f>
        <v>-557839</v>
      </c>
      <c r="G106" s="28">
        <f>TRUNC(TRUNC(단가대비표!V80,0)*AV106/100,0)</f>
        <v>2378381</v>
      </c>
      <c r="H106" s="23">
        <f t="shared" ref="H106:H128" si="21">TRUNC(D106*G106,0)</f>
        <v>2378381</v>
      </c>
      <c r="I106" s="28">
        <f>TRUNC(TRUNC(단가대비표!AE80,0)*AV106/100,0)</f>
        <v>61505</v>
      </c>
      <c r="J106" s="23">
        <f t="shared" ref="J106:J128" si="22">TRUNC(D106*I106,0)</f>
        <v>61505</v>
      </c>
      <c r="K106" s="28">
        <f t="shared" ref="K106:K128" si="23">TRUNC(E106+G106+I106,0)</f>
        <v>1882047</v>
      </c>
      <c r="L106" s="23">
        <f t="shared" ref="L106:L128" si="24">TRUNC(F106+H106+J106,0)</f>
        <v>1882047</v>
      </c>
      <c r="M106" s="29"/>
      <c r="N106" s="13" t="str">
        <f>HYPERLINK("#단가대비표!B80", "Z000000000000019")</f>
        <v>Z000000000000019</v>
      </c>
      <c r="O106" s="14" t="s">
        <v>823</v>
      </c>
      <c r="P106" s="14" t="s">
        <v>823</v>
      </c>
      <c r="Q106" s="14" t="s">
        <v>1038</v>
      </c>
      <c r="R106" s="31">
        <v>2140111</v>
      </c>
      <c r="S106" s="31">
        <v>10</v>
      </c>
      <c r="T106" s="14" t="s">
        <v>510</v>
      </c>
      <c r="U106" s="14" t="s">
        <v>510</v>
      </c>
      <c r="V106" s="14" t="s">
        <v>904</v>
      </c>
      <c r="W106" s="14" t="s">
        <v>823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1">
        <v>0</v>
      </c>
      <c r="AG106" s="31">
        <v>0</v>
      </c>
      <c r="AH106" s="31">
        <v>0</v>
      </c>
      <c r="AI106" s="31">
        <v>102</v>
      </c>
      <c r="AJ106" s="31">
        <v>0</v>
      </c>
      <c r="AK106" s="31">
        <v>0</v>
      </c>
      <c r="AL106" s="31">
        <v>0</v>
      </c>
      <c r="AM106" s="31">
        <v>0</v>
      </c>
      <c r="AN106" s="31">
        <v>0</v>
      </c>
      <c r="AO106" s="31">
        <v>0</v>
      </c>
      <c r="AP106" s="31">
        <v>0</v>
      </c>
      <c r="AQ106" s="31">
        <v>0</v>
      </c>
      <c r="AR106" s="31">
        <v>0</v>
      </c>
      <c r="AS106" s="31">
        <v>0</v>
      </c>
      <c r="AT106" s="31">
        <v>0</v>
      </c>
      <c r="AU106" s="14"/>
      <c r="AV106" s="31">
        <v>100</v>
      </c>
      <c r="AW106" s="3" t="s">
        <v>482</v>
      </c>
    </row>
    <row r="107" spans="1:49" ht="28.5" customHeight="1" x14ac:dyDescent="0.3">
      <c r="A107" s="5" t="s">
        <v>823</v>
      </c>
      <c r="B107" s="5" t="s">
        <v>823</v>
      </c>
      <c r="C107" s="5" t="s">
        <v>823</v>
      </c>
      <c r="D107" s="23">
        <v>0</v>
      </c>
      <c r="E107" s="28">
        <v>0</v>
      </c>
      <c r="F107" s="23">
        <f t="shared" si="20"/>
        <v>0</v>
      </c>
      <c r="G107" s="28">
        <v>0</v>
      </c>
      <c r="H107" s="23">
        <f t="shared" si="21"/>
        <v>0</v>
      </c>
      <c r="I107" s="28">
        <v>0</v>
      </c>
      <c r="J107" s="23">
        <f t="shared" si="22"/>
        <v>0</v>
      </c>
      <c r="K107" s="28">
        <f t="shared" si="23"/>
        <v>0</v>
      </c>
      <c r="L107" s="23">
        <f t="shared" si="24"/>
        <v>0</v>
      </c>
      <c r="M107" s="5" t="s">
        <v>823</v>
      </c>
      <c r="N107" s="5" t="s">
        <v>823</v>
      </c>
      <c r="O107" s="5" t="s">
        <v>823</v>
      </c>
      <c r="P107" s="5" t="s">
        <v>823</v>
      </c>
      <c r="AU107" s="14"/>
      <c r="AV107" s="31">
        <v>0</v>
      </c>
      <c r="AW107" s="3" t="s">
        <v>823</v>
      </c>
    </row>
    <row r="108" spans="1:49" ht="28.5" customHeight="1" x14ac:dyDescent="0.3">
      <c r="A108" s="5" t="s">
        <v>823</v>
      </c>
      <c r="B108" s="5" t="s">
        <v>823</v>
      </c>
      <c r="C108" s="5" t="s">
        <v>823</v>
      </c>
      <c r="D108" s="23">
        <v>0</v>
      </c>
      <c r="E108" s="28">
        <v>0</v>
      </c>
      <c r="F108" s="23">
        <f t="shared" si="20"/>
        <v>0</v>
      </c>
      <c r="G108" s="28">
        <v>0</v>
      </c>
      <c r="H108" s="23">
        <f t="shared" si="21"/>
        <v>0</v>
      </c>
      <c r="I108" s="28">
        <v>0</v>
      </c>
      <c r="J108" s="23">
        <f t="shared" si="22"/>
        <v>0</v>
      </c>
      <c r="K108" s="28">
        <f t="shared" si="23"/>
        <v>0</v>
      </c>
      <c r="L108" s="23">
        <f t="shared" si="24"/>
        <v>0</v>
      </c>
      <c r="M108" s="5" t="s">
        <v>823</v>
      </c>
      <c r="N108" s="5" t="s">
        <v>823</v>
      </c>
      <c r="O108" s="5" t="s">
        <v>823</v>
      </c>
      <c r="P108" s="5" t="s">
        <v>823</v>
      </c>
      <c r="AU108" s="14"/>
      <c r="AV108" s="31">
        <v>0</v>
      </c>
      <c r="AW108" s="3" t="s">
        <v>823</v>
      </c>
    </row>
    <row r="109" spans="1:49" ht="28.5" customHeight="1" x14ac:dyDescent="0.3">
      <c r="A109" s="5" t="s">
        <v>823</v>
      </c>
      <c r="B109" s="5" t="s">
        <v>823</v>
      </c>
      <c r="C109" s="5" t="s">
        <v>823</v>
      </c>
      <c r="D109" s="23">
        <v>0</v>
      </c>
      <c r="E109" s="28">
        <v>0</v>
      </c>
      <c r="F109" s="23">
        <f t="shared" si="20"/>
        <v>0</v>
      </c>
      <c r="G109" s="28">
        <v>0</v>
      </c>
      <c r="H109" s="23">
        <f t="shared" si="21"/>
        <v>0</v>
      </c>
      <c r="I109" s="28">
        <v>0</v>
      </c>
      <c r="J109" s="23">
        <f t="shared" si="22"/>
        <v>0</v>
      </c>
      <c r="K109" s="28">
        <f t="shared" si="23"/>
        <v>0</v>
      </c>
      <c r="L109" s="23">
        <f t="shared" si="24"/>
        <v>0</v>
      </c>
      <c r="M109" s="5" t="s">
        <v>823</v>
      </c>
      <c r="N109" s="5" t="s">
        <v>823</v>
      </c>
      <c r="O109" s="5" t="s">
        <v>823</v>
      </c>
      <c r="P109" s="5" t="s">
        <v>823</v>
      </c>
      <c r="AU109" s="14"/>
      <c r="AV109" s="31">
        <v>0</v>
      </c>
      <c r="AW109" s="3" t="s">
        <v>823</v>
      </c>
    </row>
    <row r="110" spans="1:49" ht="28.5" customHeight="1" x14ac:dyDescent="0.3">
      <c r="A110" s="5" t="s">
        <v>823</v>
      </c>
      <c r="B110" s="5" t="s">
        <v>823</v>
      </c>
      <c r="C110" s="5" t="s">
        <v>823</v>
      </c>
      <c r="D110" s="23">
        <v>0</v>
      </c>
      <c r="E110" s="28">
        <v>0</v>
      </c>
      <c r="F110" s="23">
        <f t="shared" si="20"/>
        <v>0</v>
      </c>
      <c r="G110" s="28">
        <v>0</v>
      </c>
      <c r="H110" s="23">
        <f t="shared" si="21"/>
        <v>0</v>
      </c>
      <c r="I110" s="28">
        <v>0</v>
      </c>
      <c r="J110" s="23">
        <f t="shared" si="22"/>
        <v>0</v>
      </c>
      <c r="K110" s="28">
        <f t="shared" si="23"/>
        <v>0</v>
      </c>
      <c r="L110" s="23">
        <f t="shared" si="24"/>
        <v>0</v>
      </c>
      <c r="M110" s="5" t="s">
        <v>823</v>
      </c>
      <c r="N110" s="5" t="s">
        <v>823</v>
      </c>
      <c r="O110" s="5" t="s">
        <v>823</v>
      </c>
      <c r="P110" s="5" t="s">
        <v>823</v>
      </c>
      <c r="AU110" s="14"/>
      <c r="AV110" s="31">
        <v>0</v>
      </c>
      <c r="AW110" s="3" t="s">
        <v>823</v>
      </c>
    </row>
    <row r="111" spans="1:49" ht="28.5" customHeight="1" x14ac:dyDescent="0.3">
      <c r="A111" s="5" t="s">
        <v>823</v>
      </c>
      <c r="B111" s="5" t="s">
        <v>823</v>
      </c>
      <c r="C111" s="5" t="s">
        <v>823</v>
      </c>
      <c r="D111" s="23">
        <v>0</v>
      </c>
      <c r="E111" s="28">
        <v>0</v>
      </c>
      <c r="F111" s="23">
        <f t="shared" si="20"/>
        <v>0</v>
      </c>
      <c r="G111" s="28">
        <v>0</v>
      </c>
      <c r="H111" s="23">
        <f t="shared" si="21"/>
        <v>0</v>
      </c>
      <c r="I111" s="28">
        <v>0</v>
      </c>
      <c r="J111" s="23">
        <f t="shared" si="22"/>
        <v>0</v>
      </c>
      <c r="K111" s="28">
        <f t="shared" si="23"/>
        <v>0</v>
      </c>
      <c r="L111" s="23">
        <f t="shared" si="24"/>
        <v>0</v>
      </c>
      <c r="M111" s="5" t="s">
        <v>823</v>
      </c>
      <c r="N111" s="5" t="s">
        <v>823</v>
      </c>
      <c r="O111" s="5" t="s">
        <v>823</v>
      </c>
      <c r="P111" s="5" t="s">
        <v>823</v>
      </c>
      <c r="AU111" s="14"/>
      <c r="AV111" s="31">
        <v>0</v>
      </c>
      <c r="AW111" s="3" t="s">
        <v>823</v>
      </c>
    </row>
    <row r="112" spans="1:49" ht="28.5" customHeight="1" x14ac:dyDescent="0.3">
      <c r="A112" s="5" t="s">
        <v>823</v>
      </c>
      <c r="B112" s="5" t="s">
        <v>823</v>
      </c>
      <c r="C112" s="5" t="s">
        <v>823</v>
      </c>
      <c r="D112" s="23">
        <v>0</v>
      </c>
      <c r="E112" s="28">
        <v>0</v>
      </c>
      <c r="F112" s="23">
        <f t="shared" si="20"/>
        <v>0</v>
      </c>
      <c r="G112" s="28">
        <v>0</v>
      </c>
      <c r="H112" s="23">
        <f t="shared" si="21"/>
        <v>0</v>
      </c>
      <c r="I112" s="28">
        <v>0</v>
      </c>
      <c r="J112" s="23">
        <f t="shared" si="22"/>
        <v>0</v>
      </c>
      <c r="K112" s="28">
        <f t="shared" si="23"/>
        <v>0</v>
      </c>
      <c r="L112" s="23">
        <f t="shared" si="24"/>
        <v>0</v>
      </c>
      <c r="M112" s="5" t="s">
        <v>823</v>
      </c>
      <c r="N112" s="5" t="s">
        <v>823</v>
      </c>
      <c r="O112" s="5" t="s">
        <v>823</v>
      </c>
      <c r="P112" s="5" t="s">
        <v>823</v>
      </c>
      <c r="AU112" s="14"/>
      <c r="AV112" s="31">
        <v>0</v>
      </c>
      <c r="AW112" s="3" t="s">
        <v>823</v>
      </c>
    </row>
    <row r="113" spans="1:49" ht="28.5" customHeight="1" x14ac:dyDescent="0.3">
      <c r="A113" s="5" t="s">
        <v>823</v>
      </c>
      <c r="B113" s="5" t="s">
        <v>823</v>
      </c>
      <c r="C113" s="5" t="s">
        <v>823</v>
      </c>
      <c r="D113" s="23">
        <v>0</v>
      </c>
      <c r="E113" s="28">
        <v>0</v>
      </c>
      <c r="F113" s="23">
        <f t="shared" si="20"/>
        <v>0</v>
      </c>
      <c r="G113" s="28">
        <v>0</v>
      </c>
      <c r="H113" s="23">
        <f t="shared" si="21"/>
        <v>0</v>
      </c>
      <c r="I113" s="28">
        <v>0</v>
      </c>
      <c r="J113" s="23">
        <f t="shared" si="22"/>
        <v>0</v>
      </c>
      <c r="K113" s="28">
        <f t="shared" si="23"/>
        <v>0</v>
      </c>
      <c r="L113" s="23">
        <f t="shared" si="24"/>
        <v>0</v>
      </c>
      <c r="M113" s="5" t="s">
        <v>823</v>
      </c>
      <c r="N113" s="5" t="s">
        <v>823</v>
      </c>
      <c r="O113" s="5" t="s">
        <v>823</v>
      </c>
      <c r="P113" s="5" t="s">
        <v>823</v>
      </c>
      <c r="AU113" s="14"/>
      <c r="AV113" s="31">
        <v>0</v>
      </c>
      <c r="AW113" s="3" t="s">
        <v>823</v>
      </c>
    </row>
    <row r="114" spans="1:49" ht="28.5" customHeight="1" x14ac:dyDescent="0.3">
      <c r="A114" s="5" t="s">
        <v>823</v>
      </c>
      <c r="B114" s="5" t="s">
        <v>823</v>
      </c>
      <c r="C114" s="5" t="s">
        <v>823</v>
      </c>
      <c r="D114" s="23">
        <v>0</v>
      </c>
      <c r="E114" s="28">
        <v>0</v>
      </c>
      <c r="F114" s="23">
        <f t="shared" si="20"/>
        <v>0</v>
      </c>
      <c r="G114" s="28">
        <v>0</v>
      </c>
      <c r="H114" s="23">
        <f t="shared" si="21"/>
        <v>0</v>
      </c>
      <c r="I114" s="28">
        <v>0</v>
      </c>
      <c r="J114" s="23">
        <f t="shared" si="22"/>
        <v>0</v>
      </c>
      <c r="K114" s="28">
        <f t="shared" si="23"/>
        <v>0</v>
      </c>
      <c r="L114" s="23">
        <f t="shared" si="24"/>
        <v>0</v>
      </c>
      <c r="M114" s="5" t="s">
        <v>823</v>
      </c>
      <c r="N114" s="5" t="s">
        <v>823</v>
      </c>
      <c r="O114" s="5" t="s">
        <v>823</v>
      </c>
      <c r="P114" s="5" t="s">
        <v>823</v>
      </c>
      <c r="AU114" s="14"/>
      <c r="AV114" s="31">
        <v>0</v>
      </c>
      <c r="AW114" s="3" t="s">
        <v>823</v>
      </c>
    </row>
    <row r="115" spans="1:49" ht="28.5" customHeight="1" x14ac:dyDescent="0.3">
      <c r="A115" s="5" t="s">
        <v>823</v>
      </c>
      <c r="B115" s="5" t="s">
        <v>823</v>
      </c>
      <c r="C115" s="5" t="s">
        <v>823</v>
      </c>
      <c r="D115" s="23">
        <v>0</v>
      </c>
      <c r="E115" s="28">
        <v>0</v>
      </c>
      <c r="F115" s="23">
        <f t="shared" si="20"/>
        <v>0</v>
      </c>
      <c r="G115" s="28">
        <v>0</v>
      </c>
      <c r="H115" s="23">
        <f t="shared" si="21"/>
        <v>0</v>
      </c>
      <c r="I115" s="28">
        <v>0</v>
      </c>
      <c r="J115" s="23">
        <f t="shared" si="22"/>
        <v>0</v>
      </c>
      <c r="K115" s="28">
        <f t="shared" si="23"/>
        <v>0</v>
      </c>
      <c r="L115" s="23">
        <f t="shared" si="24"/>
        <v>0</v>
      </c>
      <c r="M115" s="5" t="s">
        <v>823</v>
      </c>
      <c r="N115" s="5" t="s">
        <v>823</v>
      </c>
      <c r="O115" s="5" t="s">
        <v>823</v>
      </c>
      <c r="P115" s="5" t="s">
        <v>823</v>
      </c>
      <c r="AU115" s="14"/>
      <c r="AV115" s="31">
        <v>0</v>
      </c>
      <c r="AW115" s="3" t="s">
        <v>823</v>
      </c>
    </row>
    <row r="116" spans="1:49" ht="28.5" customHeight="1" x14ac:dyDescent="0.3">
      <c r="A116" s="5" t="s">
        <v>823</v>
      </c>
      <c r="B116" s="5" t="s">
        <v>823</v>
      </c>
      <c r="C116" s="5" t="s">
        <v>823</v>
      </c>
      <c r="D116" s="23">
        <v>0</v>
      </c>
      <c r="E116" s="28">
        <v>0</v>
      </c>
      <c r="F116" s="23">
        <f t="shared" si="20"/>
        <v>0</v>
      </c>
      <c r="G116" s="28">
        <v>0</v>
      </c>
      <c r="H116" s="23">
        <f t="shared" si="21"/>
        <v>0</v>
      </c>
      <c r="I116" s="28">
        <v>0</v>
      </c>
      <c r="J116" s="23">
        <f t="shared" si="22"/>
        <v>0</v>
      </c>
      <c r="K116" s="28">
        <f t="shared" si="23"/>
        <v>0</v>
      </c>
      <c r="L116" s="23">
        <f t="shared" si="24"/>
        <v>0</v>
      </c>
      <c r="M116" s="5" t="s">
        <v>823</v>
      </c>
      <c r="N116" s="5" t="s">
        <v>823</v>
      </c>
      <c r="O116" s="5" t="s">
        <v>823</v>
      </c>
      <c r="P116" s="5" t="s">
        <v>823</v>
      </c>
      <c r="AU116" s="14"/>
      <c r="AV116" s="31">
        <v>0</v>
      </c>
      <c r="AW116" s="3" t="s">
        <v>823</v>
      </c>
    </row>
    <row r="117" spans="1:49" ht="28.5" customHeight="1" x14ac:dyDescent="0.3">
      <c r="A117" s="5" t="s">
        <v>823</v>
      </c>
      <c r="B117" s="5" t="s">
        <v>823</v>
      </c>
      <c r="C117" s="5" t="s">
        <v>823</v>
      </c>
      <c r="D117" s="23">
        <v>0</v>
      </c>
      <c r="E117" s="28">
        <v>0</v>
      </c>
      <c r="F117" s="23">
        <f t="shared" si="20"/>
        <v>0</v>
      </c>
      <c r="G117" s="28">
        <v>0</v>
      </c>
      <c r="H117" s="23">
        <f t="shared" si="21"/>
        <v>0</v>
      </c>
      <c r="I117" s="28">
        <v>0</v>
      </c>
      <c r="J117" s="23">
        <f t="shared" si="22"/>
        <v>0</v>
      </c>
      <c r="K117" s="28">
        <f t="shared" si="23"/>
        <v>0</v>
      </c>
      <c r="L117" s="23">
        <f t="shared" si="24"/>
        <v>0</v>
      </c>
      <c r="M117" s="5" t="s">
        <v>823</v>
      </c>
      <c r="N117" s="5" t="s">
        <v>823</v>
      </c>
      <c r="O117" s="5" t="s">
        <v>823</v>
      </c>
      <c r="P117" s="5" t="s">
        <v>823</v>
      </c>
      <c r="AU117" s="14"/>
      <c r="AV117" s="31">
        <v>0</v>
      </c>
      <c r="AW117" s="3" t="s">
        <v>823</v>
      </c>
    </row>
    <row r="118" spans="1:49" ht="28.5" customHeight="1" x14ac:dyDescent="0.3">
      <c r="A118" s="5" t="s">
        <v>823</v>
      </c>
      <c r="B118" s="5" t="s">
        <v>823</v>
      </c>
      <c r="C118" s="5" t="s">
        <v>823</v>
      </c>
      <c r="D118" s="23">
        <v>0</v>
      </c>
      <c r="E118" s="28">
        <v>0</v>
      </c>
      <c r="F118" s="23">
        <f t="shared" si="20"/>
        <v>0</v>
      </c>
      <c r="G118" s="28">
        <v>0</v>
      </c>
      <c r="H118" s="23">
        <f t="shared" si="21"/>
        <v>0</v>
      </c>
      <c r="I118" s="28">
        <v>0</v>
      </c>
      <c r="J118" s="23">
        <f t="shared" si="22"/>
        <v>0</v>
      </c>
      <c r="K118" s="28">
        <f t="shared" si="23"/>
        <v>0</v>
      </c>
      <c r="L118" s="23">
        <f t="shared" si="24"/>
        <v>0</v>
      </c>
      <c r="M118" s="5" t="s">
        <v>823</v>
      </c>
      <c r="N118" s="5" t="s">
        <v>823</v>
      </c>
      <c r="O118" s="5" t="s">
        <v>823</v>
      </c>
      <c r="P118" s="5" t="s">
        <v>823</v>
      </c>
      <c r="AU118" s="14"/>
      <c r="AV118" s="31">
        <v>0</v>
      </c>
      <c r="AW118" s="3" t="s">
        <v>823</v>
      </c>
    </row>
    <row r="119" spans="1:49" ht="28.5" customHeight="1" x14ac:dyDescent="0.3">
      <c r="A119" s="5" t="s">
        <v>823</v>
      </c>
      <c r="B119" s="5" t="s">
        <v>823</v>
      </c>
      <c r="C119" s="5" t="s">
        <v>823</v>
      </c>
      <c r="D119" s="23">
        <v>0</v>
      </c>
      <c r="E119" s="28">
        <v>0</v>
      </c>
      <c r="F119" s="23">
        <f t="shared" si="20"/>
        <v>0</v>
      </c>
      <c r="G119" s="28">
        <v>0</v>
      </c>
      <c r="H119" s="23">
        <f t="shared" si="21"/>
        <v>0</v>
      </c>
      <c r="I119" s="28">
        <v>0</v>
      </c>
      <c r="J119" s="23">
        <f t="shared" si="22"/>
        <v>0</v>
      </c>
      <c r="K119" s="28">
        <f t="shared" si="23"/>
        <v>0</v>
      </c>
      <c r="L119" s="23">
        <f t="shared" si="24"/>
        <v>0</v>
      </c>
      <c r="M119" s="5" t="s">
        <v>823</v>
      </c>
      <c r="N119" s="5" t="s">
        <v>823</v>
      </c>
      <c r="O119" s="5" t="s">
        <v>823</v>
      </c>
      <c r="P119" s="5" t="s">
        <v>823</v>
      </c>
      <c r="AU119" s="14"/>
      <c r="AV119" s="31">
        <v>0</v>
      </c>
      <c r="AW119" s="3" t="s">
        <v>823</v>
      </c>
    </row>
    <row r="120" spans="1:49" ht="28.5" customHeight="1" x14ac:dyDescent="0.3">
      <c r="A120" s="5" t="s">
        <v>823</v>
      </c>
      <c r="B120" s="5" t="s">
        <v>823</v>
      </c>
      <c r="C120" s="5" t="s">
        <v>823</v>
      </c>
      <c r="D120" s="23">
        <v>0</v>
      </c>
      <c r="E120" s="28">
        <v>0</v>
      </c>
      <c r="F120" s="23">
        <f t="shared" si="20"/>
        <v>0</v>
      </c>
      <c r="G120" s="28">
        <v>0</v>
      </c>
      <c r="H120" s="23">
        <f t="shared" si="21"/>
        <v>0</v>
      </c>
      <c r="I120" s="28">
        <v>0</v>
      </c>
      <c r="J120" s="23">
        <f t="shared" si="22"/>
        <v>0</v>
      </c>
      <c r="K120" s="28">
        <f t="shared" si="23"/>
        <v>0</v>
      </c>
      <c r="L120" s="23">
        <f t="shared" si="24"/>
        <v>0</v>
      </c>
      <c r="M120" s="5" t="s">
        <v>823</v>
      </c>
      <c r="N120" s="5" t="s">
        <v>823</v>
      </c>
      <c r="O120" s="5" t="s">
        <v>823</v>
      </c>
      <c r="P120" s="5" t="s">
        <v>823</v>
      </c>
      <c r="AU120" s="14"/>
      <c r="AV120" s="31">
        <v>0</v>
      </c>
      <c r="AW120" s="3" t="s">
        <v>823</v>
      </c>
    </row>
    <row r="121" spans="1:49" ht="28.5" customHeight="1" x14ac:dyDescent="0.3">
      <c r="A121" s="5" t="s">
        <v>823</v>
      </c>
      <c r="B121" s="5" t="s">
        <v>823</v>
      </c>
      <c r="C121" s="5" t="s">
        <v>823</v>
      </c>
      <c r="D121" s="23">
        <v>0</v>
      </c>
      <c r="E121" s="28">
        <v>0</v>
      </c>
      <c r="F121" s="23">
        <f t="shared" si="20"/>
        <v>0</v>
      </c>
      <c r="G121" s="28">
        <v>0</v>
      </c>
      <c r="H121" s="23">
        <f t="shared" si="21"/>
        <v>0</v>
      </c>
      <c r="I121" s="28">
        <v>0</v>
      </c>
      <c r="J121" s="23">
        <f t="shared" si="22"/>
        <v>0</v>
      </c>
      <c r="K121" s="28">
        <f t="shared" si="23"/>
        <v>0</v>
      </c>
      <c r="L121" s="23">
        <f t="shared" si="24"/>
        <v>0</v>
      </c>
      <c r="M121" s="5" t="s">
        <v>823</v>
      </c>
      <c r="N121" s="5" t="s">
        <v>823</v>
      </c>
      <c r="O121" s="5" t="s">
        <v>823</v>
      </c>
      <c r="P121" s="5" t="s">
        <v>823</v>
      </c>
      <c r="AU121" s="14"/>
      <c r="AV121" s="31">
        <v>0</v>
      </c>
      <c r="AW121" s="3" t="s">
        <v>823</v>
      </c>
    </row>
    <row r="122" spans="1:49" ht="28.5" customHeight="1" x14ac:dyDescent="0.3">
      <c r="A122" s="5" t="s">
        <v>823</v>
      </c>
      <c r="B122" s="5" t="s">
        <v>823</v>
      </c>
      <c r="C122" s="5" t="s">
        <v>823</v>
      </c>
      <c r="D122" s="23">
        <v>0</v>
      </c>
      <c r="E122" s="28">
        <v>0</v>
      </c>
      <c r="F122" s="23">
        <f t="shared" si="20"/>
        <v>0</v>
      </c>
      <c r="G122" s="28">
        <v>0</v>
      </c>
      <c r="H122" s="23">
        <f t="shared" si="21"/>
        <v>0</v>
      </c>
      <c r="I122" s="28">
        <v>0</v>
      </c>
      <c r="J122" s="23">
        <f t="shared" si="22"/>
        <v>0</v>
      </c>
      <c r="K122" s="28">
        <f t="shared" si="23"/>
        <v>0</v>
      </c>
      <c r="L122" s="23">
        <f t="shared" si="24"/>
        <v>0</v>
      </c>
      <c r="M122" s="5" t="s">
        <v>823</v>
      </c>
      <c r="N122" s="5" t="s">
        <v>823</v>
      </c>
      <c r="O122" s="5" t="s">
        <v>823</v>
      </c>
      <c r="P122" s="5" t="s">
        <v>823</v>
      </c>
      <c r="AU122" s="14"/>
      <c r="AV122" s="31">
        <v>0</v>
      </c>
      <c r="AW122" s="3" t="s">
        <v>823</v>
      </c>
    </row>
    <row r="123" spans="1:49" ht="28.5" customHeight="1" x14ac:dyDescent="0.3">
      <c r="A123" s="5" t="s">
        <v>823</v>
      </c>
      <c r="B123" s="5" t="s">
        <v>823</v>
      </c>
      <c r="C123" s="5" t="s">
        <v>823</v>
      </c>
      <c r="D123" s="23">
        <v>0</v>
      </c>
      <c r="E123" s="28">
        <v>0</v>
      </c>
      <c r="F123" s="23">
        <f t="shared" si="20"/>
        <v>0</v>
      </c>
      <c r="G123" s="28">
        <v>0</v>
      </c>
      <c r="H123" s="23">
        <f t="shared" si="21"/>
        <v>0</v>
      </c>
      <c r="I123" s="28">
        <v>0</v>
      </c>
      <c r="J123" s="23">
        <f t="shared" si="22"/>
        <v>0</v>
      </c>
      <c r="K123" s="28">
        <f t="shared" si="23"/>
        <v>0</v>
      </c>
      <c r="L123" s="23">
        <f t="shared" si="24"/>
        <v>0</v>
      </c>
      <c r="M123" s="5" t="s">
        <v>823</v>
      </c>
      <c r="N123" s="5" t="s">
        <v>823</v>
      </c>
      <c r="O123" s="5" t="s">
        <v>823</v>
      </c>
      <c r="P123" s="5" t="s">
        <v>823</v>
      </c>
      <c r="AU123" s="14"/>
      <c r="AV123" s="31">
        <v>0</v>
      </c>
      <c r="AW123" s="3" t="s">
        <v>823</v>
      </c>
    </row>
    <row r="124" spans="1:49" ht="28.5" customHeight="1" x14ac:dyDescent="0.3">
      <c r="A124" s="5" t="s">
        <v>823</v>
      </c>
      <c r="B124" s="5" t="s">
        <v>823</v>
      </c>
      <c r="C124" s="5" t="s">
        <v>823</v>
      </c>
      <c r="D124" s="23">
        <v>0</v>
      </c>
      <c r="E124" s="28">
        <v>0</v>
      </c>
      <c r="F124" s="23">
        <f t="shared" si="20"/>
        <v>0</v>
      </c>
      <c r="G124" s="28">
        <v>0</v>
      </c>
      <c r="H124" s="23">
        <f t="shared" si="21"/>
        <v>0</v>
      </c>
      <c r="I124" s="28">
        <v>0</v>
      </c>
      <c r="J124" s="23">
        <f t="shared" si="22"/>
        <v>0</v>
      </c>
      <c r="K124" s="28">
        <f t="shared" si="23"/>
        <v>0</v>
      </c>
      <c r="L124" s="23">
        <f t="shared" si="24"/>
        <v>0</v>
      </c>
      <c r="M124" s="5" t="s">
        <v>823</v>
      </c>
      <c r="N124" s="5" t="s">
        <v>823</v>
      </c>
      <c r="O124" s="5" t="s">
        <v>823</v>
      </c>
      <c r="P124" s="5" t="s">
        <v>823</v>
      </c>
      <c r="AU124" s="14"/>
      <c r="AV124" s="31">
        <v>0</v>
      </c>
      <c r="AW124" s="3" t="s">
        <v>823</v>
      </c>
    </row>
    <row r="125" spans="1:49" ht="28.5" customHeight="1" x14ac:dyDescent="0.3">
      <c r="A125" s="5" t="s">
        <v>823</v>
      </c>
      <c r="B125" s="5" t="s">
        <v>823</v>
      </c>
      <c r="C125" s="5" t="s">
        <v>823</v>
      </c>
      <c r="D125" s="23">
        <v>0</v>
      </c>
      <c r="E125" s="28">
        <v>0</v>
      </c>
      <c r="F125" s="23">
        <f t="shared" si="20"/>
        <v>0</v>
      </c>
      <c r="G125" s="28">
        <v>0</v>
      </c>
      <c r="H125" s="23">
        <f t="shared" si="21"/>
        <v>0</v>
      </c>
      <c r="I125" s="28">
        <v>0</v>
      </c>
      <c r="J125" s="23">
        <f t="shared" si="22"/>
        <v>0</v>
      </c>
      <c r="K125" s="28">
        <f t="shared" si="23"/>
        <v>0</v>
      </c>
      <c r="L125" s="23">
        <f t="shared" si="24"/>
        <v>0</v>
      </c>
      <c r="M125" s="5" t="s">
        <v>823</v>
      </c>
      <c r="N125" s="5" t="s">
        <v>823</v>
      </c>
      <c r="O125" s="5" t="s">
        <v>823</v>
      </c>
      <c r="P125" s="5" t="s">
        <v>823</v>
      </c>
      <c r="AU125" s="14"/>
      <c r="AV125" s="31">
        <v>0</v>
      </c>
      <c r="AW125" s="3" t="s">
        <v>823</v>
      </c>
    </row>
    <row r="126" spans="1:49" ht="28.5" customHeight="1" x14ac:dyDescent="0.3">
      <c r="A126" s="5" t="s">
        <v>823</v>
      </c>
      <c r="B126" s="5" t="s">
        <v>823</v>
      </c>
      <c r="C126" s="5" t="s">
        <v>823</v>
      </c>
      <c r="D126" s="23">
        <v>0</v>
      </c>
      <c r="E126" s="28">
        <v>0</v>
      </c>
      <c r="F126" s="23">
        <f t="shared" si="20"/>
        <v>0</v>
      </c>
      <c r="G126" s="28">
        <v>0</v>
      </c>
      <c r="H126" s="23">
        <f t="shared" si="21"/>
        <v>0</v>
      </c>
      <c r="I126" s="28">
        <v>0</v>
      </c>
      <c r="J126" s="23">
        <f t="shared" si="22"/>
        <v>0</v>
      </c>
      <c r="K126" s="28">
        <f t="shared" si="23"/>
        <v>0</v>
      </c>
      <c r="L126" s="23">
        <f t="shared" si="24"/>
        <v>0</v>
      </c>
      <c r="M126" s="5" t="s">
        <v>823</v>
      </c>
      <c r="N126" s="5" t="s">
        <v>823</v>
      </c>
      <c r="O126" s="5" t="s">
        <v>823</v>
      </c>
      <c r="P126" s="5" t="s">
        <v>823</v>
      </c>
      <c r="AU126" s="14"/>
      <c r="AV126" s="31">
        <v>0</v>
      </c>
      <c r="AW126" s="3" t="s">
        <v>823</v>
      </c>
    </row>
    <row r="127" spans="1:49" ht="28.5" customHeight="1" x14ac:dyDescent="0.3">
      <c r="A127" s="5" t="s">
        <v>823</v>
      </c>
      <c r="B127" s="5" t="s">
        <v>823</v>
      </c>
      <c r="C127" s="5" t="s">
        <v>823</v>
      </c>
      <c r="D127" s="23">
        <v>0</v>
      </c>
      <c r="E127" s="28">
        <v>0</v>
      </c>
      <c r="F127" s="23">
        <f t="shared" si="20"/>
        <v>0</v>
      </c>
      <c r="G127" s="28">
        <v>0</v>
      </c>
      <c r="H127" s="23">
        <f t="shared" si="21"/>
        <v>0</v>
      </c>
      <c r="I127" s="28">
        <v>0</v>
      </c>
      <c r="J127" s="23">
        <f t="shared" si="22"/>
        <v>0</v>
      </c>
      <c r="K127" s="28">
        <f t="shared" si="23"/>
        <v>0</v>
      </c>
      <c r="L127" s="23">
        <f t="shared" si="24"/>
        <v>0</v>
      </c>
      <c r="M127" s="5" t="s">
        <v>823</v>
      </c>
      <c r="N127" s="5" t="s">
        <v>823</v>
      </c>
      <c r="O127" s="5" t="s">
        <v>823</v>
      </c>
      <c r="P127" s="5" t="s">
        <v>823</v>
      </c>
      <c r="AU127" s="14"/>
      <c r="AV127" s="31">
        <v>0</v>
      </c>
      <c r="AW127" s="3" t="s">
        <v>823</v>
      </c>
    </row>
    <row r="128" spans="1:49" ht="28.5" customHeight="1" x14ac:dyDescent="0.3">
      <c r="A128" s="5" t="s">
        <v>823</v>
      </c>
      <c r="B128" s="5" t="s">
        <v>823</v>
      </c>
      <c r="C128" s="5" t="s">
        <v>823</v>
      </c>
      <c r="D128" s="23">
        <v>0</v>
      </c>
      <c r="E128" s="28">
        <v>0</v>
      </c>
      <c r="F128" s="23">
        <f t="shared" si="20"/>
        <v>0</v>
      </c>
      <c r="G128" s="28">
        <v>0</v>
      </c>
      <c r="H128" s="23">
        <f t="shared" si="21"/>
        <v>0</v>
      </c>
      <c r="I128" s="28">
        <v>0</v>
      </c>
      <c r="J128" s="23">
        <f t="shared" si="22"/>
        <v>0</v>
      </c>
      <c r="K128" s="28">
        <f t="shared" si="23"/>
        <v>0</v>
      </c>
      <c r="L128" s="23">
        <f t="shared" si="24"/>
        <v>0</v>
      </c>
      <c r="M128" s="5" t="s">
        <v>823</v>
      </c>
      <c r="N128" s="5" t="s">
        <v>823</v>
      </c>
      <c r="O128" s="5" t="s">
        <v>823</v>
      </c>
      <c r="P128" s="5" t="s">
        <v>823</v>
      </c>
      <c r="AU128" s="14"/>
      <c r="AV128" s="31">
        <v>0</v>
      </c>
      <c r="AW128" s="3" t="s">
        <v>823</v>
      </c>
    </row>
    <row r="129" spans="1:49" ht="28.5" customHeight="1" x14ac:dyDescent="0.3">
      <c r="A129" s="5" t="s">
        <v>141</v>
      </c>
      <c r="B129" s="5" t="s">
        <v>823</v>
      </c>
      <c r="C129" s="5" t="s">
        <v>823</v>
      </c>
      <c r="D129" s="5" t="s">
        <v>823</v>
      </c>
      <c r="E129" s="18">
        <v>0</v>
      </c>
      <c r="F129" s="23">
        <f>TRUNC(SUMIF(Q106:Q128, Q105,F106:F128),0)</f>
        <v>-557839</v>
      </c>
      <c r="G129" s="23">
        <v>0</v>
      </c>
      <c r="H129" s="23">
        <f>TRUNC(SUMIF(Q106:Q128, Q105,H106:H128),0)</f>
        <v>2378381</v>
      </c>
      <c r="I129" s="23">
        <v>0</v>
      </c>
      <c r="J129" s="23">
        <f>TRUNC(SUMIF(Q106:Q128, Q105,J106:J128),0)</f>
        <v>61505</v>
      </c>
      <c r="K129" s="15" t="s">
        <v>823</v>
      </c>
      <c r="L129" s="23">
        <f>F129+H129+J129</f>
        <v>1882047</v>
      </c>
      <c r="M129" s="5"/>
      <c r="AW129" s="5" t="s">
        <v>823</v>
      </c>
    </row>
    <row r="130" spans="1:49" ht="28.5" customHeight="1" x14ac:dyDescent="0.3">
      <c r="A130" s="19" t="s">
        <v>1037</v>
      </c>
      <c r="B130" s="5"/>
      <c r="C130" s="5"/>
      <c r="D130" s="5" t="s">
        <v>823</v>
      </c>
      <c r="E130" s="5" t="s">
        <v>823</v>
      </c>
      <c r="F130" s="5" t="s">
        <v>823</v>
      </c>
      <c r="G130" s="5" t="s">
        <v>823</v>
      </c>
      <c r="H130" s="5" t="s">
        <v>823</v>
      </c>
      <c r="I130" s="5" t="s">
        <v>823</v>
      </c>
      <c r="J130" s="5" t="s">
        <v>823</v>
      </c>
      <c r="K130" s="5" t="s">
        <v>823</v>
      </c>
      <c r="L130" s="5" t="s">
        <v>823</v>
      </c>
      <c r="M130" s="5" t="s">
        <v>823</v>
      </c>
      <c r="N130" s="2" t="s">
        <v>823</v>
      </c>
      <c r="Q130" s="14" t="s">
        <v>669</v>
      </c>
      <c r="R130" s="31">
        <v>2212868</v>
      </c>
      <c r="S130" s="31">
        <v>0</v>
      </c>
      <c r="AH130" s="14"/>
      <c r="AW130" s="5" t="s">
        <v>823</v>
      </c>
    </row>
    <row r="131" spans="1:49" ht="28.5" customHeight="1" x14ac:dyDescent="0.3">
      <c r="A131" s="5" t="s">
        <v>606</v>
      </c>
      <c r="B131" s="29" t="s">
        <v>489</v>
      </c>
      <c r="C131" s="5" t="s">
        <v>1154</v>
      </c>
      <c r="D131" s="10">
        <v>15.26</v>
      </c>
      <c r="E131" s="28">
        <f>TRUNC(TRUNC(단가대비표!U103,0)*AV131/100,0)</f>
        <v>0</v>
      </c>
      <c r="F131" s="23">
        <f t="shared" ref="F131:F153" si="25">TRUNC(D131*E131,0)</f>
        <v>0</v>
      </c>
      <c r="G131" s="28">
        <f>TRUNC(TRUNC(단가대비표!V103,0)*AV131/100,0)</f>
        <v>0</v>
      </c>
      <c r="H131" s="23">
        <f t="shared" ref="H131:H153" si="26">TRUNC(D131*G131,0)</f>
        <v>0</v>
      </c>
      <c r="I131" s="28">
        <f>TRUNC(TRUNC(단가대비표!AE103,0)*AV131/100,0)</f>
        <v>3520</v>
      </c>
      <c r="J131" s="23">
        <f t="shared" ref="J131:J153" si="27">TRUNC(D131*I131,0)</f>
        <v>53715</v>
      </c>
      <c r="K131" s="28">
        <f t="shared" ref="K131:K153" si="28">TRUNC(E131+G131+I131,0)</f>
        <v>3520</v>
      </c>
      <c r="L131" s="23">
        <f t="shared" ref="L131:L153" si="29">TRUNC(F131+H131+J131,0)</f>
        <v>53715</v>
      </c>
      <c r="M131" s="29" t="s">
        <v>823</v>
      </c>
      <c r="N131" s="13" t="str">
        <f>HYPERLINK("#단가대비표!B103", "AAD151100010")</f>
        <v>AAD151100010</v>
      </c>
      <c r="O131" s="14" t="s">
        <v>823</v>
      </c>
      <c r="P131" s="14" t="s">
        <v>823</v>
      </c>
      <c r="Q131" s="14" t="s">
        <v>669</v>
      </c>
      <c r="R131" s="31">
        <v>2212868</v>
      </c>
      <c r="S131" s="31">
        <v>10</v>
      </c>
      <c r="T131" s="14" t="s">
        <v>510</v>
      </c>
      <c r="U131" s="14" t="s">
        <v>510</v>
      </c>
      <c r="V131" s="14" t="s">
        <v>904</v>
      </c>
      <c r="W131" s="14" t="s">
        <v>823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31">
        <v>0</v>
      </c>
      <c r="AG131" s="31">
        <v>0</v>
      </c>
      <c r="AH131" s="31">
        <v>0</v>
      </c>
      <c r="AI131" s="31">
        <v>104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31">
        <v>0</v>
      </c>
      <c r="AQ131" s="31">
        <v>0</v>
      </c>
      <c r="AR131" s="31">
        <v>0</v>
      </c>
      <c r="AS131" s="31">
        <v>0</v>
      </c>
      <c r="AT131" s="31">
        <v>0</v>
      </c>
      <c r="AU131" s="14"/>
      <c r="AV131" s="31">
        <v>100</v>
      </c>
      <c r="AW131" s="3" t="s">
        <v>197</v>
      </c>
    </row>
    <row r="132" spans="1:49" ht="28.5" customHeight="1" x14ac:dyDescent="0.3">
      <c r="A132" s="5" t="s">
        <v>926</v>
      </c>
      <c r="B132" s="29" t="s">
        <v>142</v>
      </c>
      <c r="C132" s="5" t="s">
        <v>1004</v>
      </c>
      <c r="D132" s="10">
        <v>158.61000000000001</v>
      </c>
      <c r="E132" s="28">
        <f>TRUNC(TRUNC(일위대가목록!E29,0)*AV132/100,0)</f>
        <v>0</v>
      </c>
      <c r="F132" s="23">
        <f t="shared" si="25"/>
        <v>0</v>
      </c>
      <c r="G132" s="28">
        <f>TRUNC(TRUNC(일위대가목록!F29,0)*AV132/100,0)</f>
        <v>5965</v>
      </c>
      <c r="H132" s="23">
        <f t="shared" si="26"/>
        <v>946108</v>
      </c>
      <c r="I132" s="28">
        <f>TRUNC(TRUNC(일위대가목록!G29,0)*AV132/100,0)</f>
        <v>0</v>
      </c>
      <c r="J132" s="23">
        <f t="shared" si="27"/>
        <v>0</v>
      </c>
      <c r="K132" s="28">
        <f t="shared" si="28"/>
        <v>5965</v>
      </c>
      <c r="L132" s="23">
        <f t="shared" si="29"/>
        <v>946108</v>
      </c>
      <c r="M132" s="29"/>
      <c r="N132" s="13" t="str">
        <f>HYPERLINK("#일위대가목록!A29", "AQA80000280S")</f>
        <v>AQA80000280S</v>
      </c>
      <c r="O132" s="14" t="s">
        <v>823</v>
      </c>
      <c r="P132" s="14" t="s">
        <v>823</v>
      </c>
      <c r="Q132" s="14" t="s">
        <v>669</v>
      </c>
      <c r="R132" s="31">
        <v>2212868</v>
      </c>
      <c r="S132" s="31">
        <v>20</v>
      </c>
      <c r="T132" s="14" t="s">
        <v>904</v>
      </c>
      <c r="U132" s="14" t="s">
        <v>510</v>
      </c>
      <c r="V132" s="14" t="s">
        <v>510</v>
      </c>
      <c r="W132" s="14" t="s">
        <v>823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31">
        <v>104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31">
        <v>0</v>
      </c>
      <c r="AP132" s="31">
        <v>0</v>
      </c>
      <c r="AQ132" s="31">
        <v>0</v>
      </c>
      <c r="AR132" s="31">
        <v>0</v>
      </c>
      <c r="AS132" s="31">
        <v>0</v>
      </c>
      <c r="AT132" s="31">
        <v>0</v>
      </c>
      <c r="AU132" s="14"/>
      <c r="AV132" s="31">
        <v>100</v>
      </c>
      <c r="AW132" s="3" t="s">
        <v>516</v>
      </c>
    </row>
    <row r="133" spans="1:49" ht="28.5" customHeight="1" x14ac:dyDescent="0.3">
      <c r="A133" s="5" t="s">
        <v>1210</v>
      </c>
      <c r="B133" s="29" t="s">
        <v>142</v>
      </c>
      <c r="C133" s="5" t="s">
        <v>1004</v>
      </c>
      <c r="D133" s="10">
        <v>158.61000000000001</v>
      </c>
      <c r="E133" s="28">
        <f>TRUNC(TRUNC(일위대가목록!E30,0)*AV133/100,0)</f>
        <v>132</v>
      </c>
      <c r="F133" s="23">
        <f t="shared" si="25"/>
        <v>20936</v>
      </c>
      <c r="G133" s="28">
        <f>TRUNC(TRUNC(일위대가목록!F30,0)*AV133/100,0)</f>
        <v>6646</v>
      </c>
      <c r="H133" s="23">
        <f t="shared" si="26"/>
        <v>1054122</v>
      </c>
      <c r="I133" s="28">
        <f>TRUNC(TRUNC(일위대가목록!G30,0)*AV133/100,0)</f>
        <v>0</v>
      </c>
      <c r="J133" s="23">
        <f t="shared" si="27"/>
        <v>0</v>
      </c>
      <c r="K133" s="28">
        <f t="shared" si="28"/>
        <v>6778</v>
      </c>
      <c r="L133" s="23">
        <f t="shared" si="29"/>
        <v>1075058</v>
      </c>
      <c r="M133" s="29"/>
      <c r="N133" s="13" t="str">
        <f>HYPERLINK("#일위대가목록!A30", "AQA80000290S")</f>
        <v>AQA80000290S</v>
      </c>
      <c r="O133" s="14" t="s">
        <v>823</v>
      </c>
      <c r="P133" s="14" t="s">
        <v>823</v>
      </c>
      <c r="Q133" s="14" t="s">
        <v>669</v>
      </c>
      <c r="R133" s="31">
        <v>2212868</v>
      </c>
      <c r="S133" s="31">
        <v>30</v>
      </c>
      <c r="T133" s="14" t="s">
        <v>904</v>
      </c>
      <c r="U133" s="14" t="s">
        <v>510</v>
      </c>
      <c r="V133" s="14" t="s">
        <v>510</v>
      </c>
      <c r="W133" s="14" t="s">
        <v>823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31">
        <v>104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0</v>
      </c>
      <c r="AQ133" s="31">
        <v>0</v>
      </c>
      <c r="AR133" s="31">
        <v>0</v>
      </c>
      <c r="AS133" s="31">
        <v>0</v>
      </c>
      <c r="AT133" s="31">
        <v>0</v>
      </c>
      <c r="AU133" s="14"/>
      <c r="AV133" s="31">
        <v>100</v>
      </c>
      <c r="AW133" s="3" t="s">
        <v>931</v>
      </c>
    </row>
    <row r="134" spans="1:49" ht="28.5" customHeight="1" x14ac:dyDescent="0.3">
      <c r="A134" s="5" t="s">
        <v>451</v>
      </c>
      <c r="B134" s="29" t="s">
        <v>142</v>
      </c>
      <c r="C134" s="5" t="s">
        <v>1004</v>
      </c>
      <c r="D134" s="10">
        <v>73.680000000000007</v>
      </c>
      <c r="E134" s="28">
        <f>TRUNC(TRUNC(일위대가목록!E31,0)*AV134/100,0)</f>
        <v>119</v>
      </c>
      <c r="F134" s="23">
        <f t="shared" si="25"/>
        <v>8767</v>
      </c>
      <c r="G134" s="28">
        <f>TRUNC(TRUNC(일위대가목록!F31,0)*AV134/100,0)</f>
        <v>5965</v>
      </c>
      <c r="H134" s="23">
        <f t="shared" si="26"/>
        <v>439501</v>
      </c>
      <c r="I134" s="28">
        <f>TRUNC(TRUNC(일위대가목록!G31,0)*AV134/100,0)</f>
        <v>0</v>
      </c>
      <c r="J134" s="23">
        <f t="shared" si="27"/>
        <v>0</v>
      </c>
      <c r="K134" s="28">
        <f t="shared" si="28"/>
        <v>6084</v>
      </c>
      <c r="L134" s="23">
        <f t="shared" si="29"/>
        <v>448268</v>
      </c>
      <c r="M134" s="29"/>
      <c r="N134" s="13" t="str">
        <f>HYPERLINK("#일위대가목록!A31", "AQA80000300S")</f>
        <v>AQA80000300S</v>
      </c>
      <c r="O134" s="14" t="s">
        <v>823</v>
      </c>
      <c r="P134" s="14" t="s">
        <v>823</v>
      </c>
      <c r="Q134" s="14" t="s">
        <v>669</v>
      </c>
      <c r="R134" s="31">
        <v>2212868</v>
      </c>
      <c r="S134" s="31">
        <v>40</v>
      </c>
      <c r="T134" s="14" t="s">
        <v>904</v>
      </c>
      <c r="U134" s="14" t="s">
        <v>510</v>
      </c>
      <c r="V134" s="14" t="s">
        <v>510</v>
      </c>
      <c r="W134" s="14" t="s">
        <v>823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31">
        <v>0</v>
      </c>
      <c r="AG134" s="31">
        <v>0</v>
      </c>
      <c r="AH134" s="31">
        <v>0</v>
      </c>
      <c r="AI134" s="31">
        <v>104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31">
        <v>0</v>
      </c>
      <c r="AQ134" s="31">
        <v>0</v>
      </c>
      <c r="AR134" s="31">
        <v>0</v>
      </c>
      <c r="AS134" s="31">
        <v>0</v>
      </c>
      <c r="AT134" s="31">
        <v>0</v>
      </c>
      <c r="AU134" s="14"/>
      <c r="AV134" s="31">
        <v>100</v>
      </c>
      <c r="AW134" s="3" t="s">
        <v>386</v>
      </c>
    </row>
    <row r="135" spans="1:49" ht="28.5" customHeight="1" x14ac:dyDescent="0.3">
      <c r="A135" s="5" t="s">
        <v>310</v>
      </c>
      <c r="B135" s="29" t="s">
        <v>163</v>
      </c>
      <c r="C135" s="5" t="s">
        <v>1004</v>
      </c>
      <c r="D135" s="10">
        <v>402.88</v>
      </c>
      <c r="E135" s="28">
        <f>TRUNC(TRUNC(일위대가목록!E32,0)*AV135/100,0)</f>
        <v>119</v>
      </c>
      <c r="F135" s="23">
        <f t="shared" si="25"/>
        <v>47942</v>
      </c>
      <c r="G135" s="28">
        <f>TRUNC(TRUNC(일위대가목록!F32,0)*AV135/100,0)</f>
        <v>5965</v>
      </c>
      <c r="H135" s="23">
        <f t="shared" si="26"/>
        <v>2403179</v>
      </c>
      <c r="I135" s="28">
        <f>TRUNC(TRUNC(일위대가목록!G32,0)*AV135/100,0)</f>
        <v>0</v>
      </c>
      <c r="J135" s="23">
        <f t="shared" si="27"/>
        <v>0</v>
      </c>
      <c r="K135" s="28">
        <f t="shared" si="28"/>
        <v>6084</v>
      </c>
      <c r="L135" s="23">
        <f t="shared" si="29"/>
        <v>2451121</v>
      </c>
      <c r="M135" s="29"/>
      <c r="N135" s="13" t="str">
        <f>HYPERLINK("#일위대가목록!A32", "AQA80000300T")</f>
        <v>AQA80000300T</v>
      </c>
      <c r="O135" s="14" t="s">
        <v>823</v>
      </c>
      <c r="P135" s="14" t="s">
        <v>823</v>
      </c>
      <c r="Q135" s="14" t="s">
        <v>669</v>
      </c>
      <c r="R135" s="31">
        <v>2212868</v>
      </c>
      <c r="S135" s="31">
        <v>50</v>
      </c>
      <c r="T135" s="14" t="s">
        <v>904</v>
      </c>
      <c r="U135" s="14" t="s">
        <v>510</v>
      </c>
      <c r="V135" s="14" t="s">
        <v>510</v>
      </c>
      <c r="W135" s="14" t="s">
        <v>823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31">
        <v>0</v>
      </c>
      <c r="AG135" s="31">
        <v>0</v>
      </c>
      <c r="AH135" s="31">
        <v>0</v>
      </c>
      <c r="AI135" s="31">
        <v>104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31">
        <v>0</v>
      </c>
      <c r="AQ135" s="31">
        <v>0</v>
      </c>
      <c r="AR135" s="31">
        <v>0</v>
      </c>
      <c r="AS135" s="31">
        <v>0</v>
      </c>
      <c r="AT135" s="31">
        <v>0</v>
      </c>
      <c r="AU135" s="14"/>
      <c r="AV135" s="31">
        <v>100</v>
      </c>
      <c r="AW135" s="3" t="s">
        <v>17</v>
      </c>
    </row>
    <row r="136" spans="1:49" ht="28.5" customHeight="1" x14ac:dyDescent="0.3">
      <c r="A136" s="5" t="s">
        <v>1054</v>
      </c>
      <c r="B136" s="29" t="s">
        <v>142</v>
      </c>
      <c r="C136" s="5" t="s">
        <v>1004</v>
      </c>
      <c r="D136" s="10">
        <v>163.78</v>
      </c>
      <c r="E136" s="28">
        <f>TRUNC(TRUNC(일위대가목록!E33,0)*AV136/100,0)</f>
        <v>105</v>
      </c>
      <c r="F136" s="23">
        <f t="shared" si="25"/>
        <v>17196</v>
      </c>
      <c r="G136" s="28">
        <f>TRUNC(TRUNC(일위대가목록!F33,0)*AV136/100,0)</f>
        <v>5283</v>
      </c>
      <c r="H136" s="23">
        <f t="shared" si="26"/>
        <v>865249</v>
      </c>
      <c r="I136" s="28">
        <f>TRUNC(TRUNC(일위대가목록!G33,0)*AV136/100,0)</f>
        <v>0</v>
      </c>
      <c r="J136" s="23">
        <f t="shared" si="27"/>
        <v>0</v>
      </c>
      <c r="K136" s="28">
        <f t="shared" si="28"/>
        <v>5388</v>
      </c>
      <c r="L136" s="23">
        <f t="shared" si="29"/>
        <v>882445</v>
      </c>
      <c r="M136" s="29"/>
      <c r="N136" s="13" t="str">
        <f>HYPERLINK("#일위대가목록!A33", "AQA80000310S")</f>
        <v>AQA80000310S</v>
      </c>
      <c r="O136" s="14" t="s">
        <v>823</v>
      </c>
      <c r="P136" s="14" t="s">
        <v>823</v>
      </c>
      <c r="Q136" s="14" t="s">
        <v>669</v>
      </c>
      <c r="R136" s="31">
        <v>2212868</v>
      </c>
      <c r="S136" s="31">
        <v>60</v>
      </c>
      <c r="T136" s="14" t="s">
        <v>904</v>
      </c>
      <c r="U136" s="14" t="s">
        <v>510</v>
      </c>
      <c r="V136" s="14" t="s">
        <v>510</v>
      </c>
      <c r="W136" s="14" t="s">
        <v>823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31">
        <v>104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31">
        <v>0</v>
      </c>
      <c r="AP136" s="31">
        <v>0</v>
      </c>
      <c r="AQ136" s="31">
        <v>0</v>
      </c>
      <c r="AR136" s="31">
        <v>0</v>
      </c>
      <c r="AS136" s="31">
        <v>0</v>
      </c>
      <c r="AT136" s="31">
        <v>0</v>
      </c>
      <c r="AU136" s="14"/>
      <c r="AV136" s="31">
        <v>100</v>
      </c>
      <c r="AW136" s="3" t="s">
        <v>681</v>
      </c>
    </row>
    <row r="137" spans="1:49" ht="28.5" customHeight="1" x14ac:dyDescent="0.3">
      <c r="A137" s="5" t="s">
        <v>625</v>
      </c>
      <c r="B137" s="29" t="s">
        <v>823</v>
      </c>
      <c r="C137" s="5" t="s">
        <v>167</v>
      </c>
      <c r="D137" s="10">
        <v>264</v>
      </c>
      <c r="E137" s="28">
        <f>TRUNC(TRUNC(일위대가목록!E34,0)*AV137/100,0)</f>
        <v>0</v>
      </c>
      <c r="F137" s="23">
        <f t="shared" si="25"/>
        <v>0</v>
      </c>
      <c r="G137" s="28">
        <f>TRUNC(TRUNC(일위대가목록!F34,0)*AV137/100,0)</f>
        <v>10342</v>
      </c>
      <c r="H137" s="23">
        <f t="shared" si="26"/>
        <v>2730288</v>
      </c>
      <c r="I137" s="28">
        <f>TRUNC(TRUNC(일위대가목록!G34,0)*AV137/100,0)</f>
        <v>76</v>
      </c>
      <c r="J137" s="23">
        <f t="shared" si="27"/>
        <v>20064</v>
      </c>
      <c r="K137" s="28">
        <f t="shared" si="28"/>
        <v>10418</v>
      </c>
      <c r="L137" s="23">
        <f t="shared" si="29"/>
        <v>2750352</v>
      </c>
      <c r="M137" s="29"/>
      <c r="N137" s="13" t="str">
        <f>HYPERLINK("#일위대가목록!A34", "AQA800010020")</f>
        <v>AQA800010020</v>
      </c>
      <c r="O137" s="14" t="s">
        <v>823</v>
      </c>
      <c r="P137" s="14" t="s">
        <v>823</v>
      </c>
      <c r="Q137" s="14" t="s">
        <v>669</v>
      </c>
      <c r="R137" s="31">
        <v>2212868</v>
      </c>
      <c r="S137" s="31">
        <v>70</v>
      </c>
      <c r="T137" s="14" t="s">
        <v>904</v>
      </c>
      <c r="U137" s="14" t="s">
        <v>510</v>
      </c>
      <c r="V137" s="14" t="s">
        <v>510</v>
      </c>
      <c r="W137" s="14" t="s">
        <v>823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0</v>
      </c>
      <c r="AI137" s="31">
        <v>104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31">
        <v>0</v>
      </c>
      <c r="AQ137" s="31">
        <v>0</v>
      </c>
      <c r="AR137" s="31">
        <v>0</v>
      </c>
      <c r="AS137" s="31">
        <v>0</v>
      </c>
      <c r="AT137" s="31">
        <v>0</v>
      </c>
      <c r="AU137" s="14"/>
      <c r="AV137" s="31">
        <v>100</v>
      </c>
      <c r="AW137" s="3" t="s">
        <v>575</v>
      </c>
    </row>
    <row r="138" spans="1:49" ht="28.5" customHeight="1" x14ac:dyDescent="0.3">
      <c r="A138" s="5" t="s">
        <v>216</v>
      </c>
      <c r="B138" s="29" t="s">
        <v>163</v>
      </c>
      <c r="C138" s="5" t="s">
        <v>1004</v>
      </c>
      <c r="D138" s="10">
        <v>312.77999999999997</v>
      </c>
      <c r="E138" s="28">
        <f>TRUNC(TRUNC(일위대가목록!E35,0)*AV138/100,0)</f>
        <v>0</v>
      </c>
      <c r="F138" s="23">
        <f t="shared" si="25"/>
        <v>0</v>
      </c>
      <c r="G138" s="28">
        <f>TRUNC(TRUNC(일위대가목록!F35,0)*AV138/100,0)</f>
        <v>5283</v>
      </c>
      <c r="H138" s="23">
        <f t="shared" si="26"/>
        <v>1652416</v>
      </c>
      <c r="I138" s="28">
        <f>TRUNC(TRUNC(일위대가목록!G35,0)*AV138/100,0)</f>
        <v>52</v>
      </c>
      <c r="J138" s="23">
        <f t="shared" si="27"/>
        <v>16264</v>
      </c>
      <c r="K138" s="28">
        <f t="shared" si="28"/>
        <v>5335</v>
      </c>
      <c r="L138" s="23">
        <f t="shared" si="29"/>
        <v>1668680</v>
      </c>
      <c r="M138" s="29"/>
      <c r="N138" s="13" t="str">
        <f>HYPERLINK("#일위대가목록!A35", "AQA800015004")</f>
        <v>AQA800015004</v>
      </c>
      <c r="O138" s="14" t="s">
        <v>823</v>
      </c>
      <c r="P138" s="14" t="s">
        <v>823</v>
      </c>
      <c r="Q138" s="14" t="s">
        <v>669</v>
      </c>
      <c r="R138" s="31">
        <v>2212868</v>
      </c>
      <c r="S138" s="31">
        <v>80</v>
      </c>
      <c r="T138" s="14" t="s">
        <v>904</v>
      </c>
      <c r="U138" s="14" t="s">
        <v>510</v>
      </c>
      <c r="V138" s="14" t="s">
        <v>510</v>
      </c>
      <c r="W138" s="14" t="s">
        <v>823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31">
        <v>0</v>
      </c>
      <c r="AG138" s="31">
        <v>0</v>
      </c>
      <c r="AH138" s="31">
        <v>0</v>
      </c>
      <c r="AI138" s="31">
        <v>104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31">
        <v>0</v>
      </c>
      <c r="AP138" s="31">
        <v>0</v>
      </c>
      <c r="AQ138" s="31">
        <v>0</v>
      </c>
      <c r="AR138" s="31">
        <v>0</v>
      </c>
      <c r="AS138" s="31">
        <v>0</v>
      </c>
      <c r="AT138" s="31">
        <v>0</v>
      </c>
      <c r="AU138" s="14"/>
      <c r="AV138" s="31">
        <v>100</v>
      </c>
      <c r="AW138" s="3" t="s">
        <v>233</v>
      </c>
    </row>
    <row r="139" spans="1:49" ht="28.5" customHeight="1" x14ac:dyDescent="0.3">
      <c r="A139" s="5" t="s">
        <v>532</v>
      </c>
      <c r="B139" s="29" t="s">
        <v>823</v>
      </c>
      <c r="C139" s="5" t="s">
        <v>1004</v>
      </c>
      <c r="D139" s="10">
        <v>30.47</v>
      </c>
      <c r="E139" s="28">
        <f>TRUNC(TRUNC(일위대가목록!E36,0)*AV139/100,0)</f>
        <v>0</v>
      </c>
      <c r="F139" s="23">
        <f t="shared" si="25"/>
        <v>0</v>
      </c>
      <c r="G139" s="28">
        <f>TRUNC(TRUNC(일위대가목록!F36,0)*AV139/100,0)</f>
        <v>8518</v>
      </c>
      <c r="H139" s="23">
        <f t="shared" si="26"/>
        <v>259543</v>
      </c>
      <c r="I139" s="28">
        <f>TRUNC(TRUNC(일위대가목록!G36,0)*AV139/100,0)</f>
        <v>0</v>
      </c>
      <c r="J139" s="23">
        <f t="shared" si="27"/>
        <v>0</v>
      </c>
      <c r="K139" s="28">
        <f t="shared" si="28"/>
        <v>8518</v>
      </c>
      <c r="L139" s="23">
        <f t="shared" si="29"/>
        <v>259543</v>
      </c>
      <c r="M139" s="29" t="s">
        <v>823</v>
      </c>
      <c r="N139" s="13" t="str">
        <f>HYPERLINK("#일위대가목록!A36", "AQA800106501")</f>
        <v>AQA800106501</v>
      </c>
      <c r="O139" s="14" t="s">
        <v>823</v>
      </c>
      <c r="P139" s="14" t="s">
        <v>823</v>
      </c>
      <c r="Q139" s="14" t="s">
        <v>669</v>
      </c>
      <c r="R139" s="31">
        <v>2212868</v>
      </c>
      <c r="S139" s="31">
        <v>90</v>
      </c>
      <c r="T139" s="14" t="s">
        <v>904</v>
      </c>
      <c r="U139" s="14" t="s">
        <v>510</v>
      </c>
      <c r="V139" s="14" t="s">
        <v>510</v>
      </c>
      <c r="W139" s="14" t="s">
        <v>823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31">
        <v>0</v>
      </c>
      <c r="AH139" s="31">
        <v>0</v>
      </c>
      <c r="AI139" s="31">
        <v>104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31">
        <v>0</v>
      </c>
      <c r="AP139" s="31">
        <v>0</v>
      </c>
      <c r="AQ139" s="31">
        <v>0</v>
      </c>
      <c r="AR139" s="31">
        <v>0</v>
      </c>
      <c r="AS139" s="31">
        <v>0</v>
      </c>
      <c r="AT139" s="31">
        <v>0</v>
      </c>
      <c r="AU139" s="14"/>
      <c r="AV139" s="31">
        <v>100</v>
      </c>
      <c r="AW139" s="3" t="s">
        <v>223</v>
      </c>
    </row>
    <row r="140" spans="1:49" ht="28.5" customHeight="1" x14ac:dyDescent="0.3">
      <c r="A140" s="5" t="s">
        <v>751</v>
      </c>
      <c r="B140" s="29" t="s">
        <v>823</v>
      </c>
      <c r="C140" s="5" t="s">
        <v>1004</v>
      </c>
      <c r="D140" s="10">
        <v>352.48</v>
      </c>
      <c r="E140" s="28">
        <f>TRUNC(TRUNC(일위대가목록!E37,0)*AV140/100,0)</f>
        <v>0</v>
      </c>
      <c r="F140" s="23">
        <f t="shared" si="25"/>
        <v>0</v>
      </c>
      <c r="G140" s="28">
        <f>TRUNC(TRUNC(일위대가목록!F37,0)*AV140/100,0)</f>
        <v>3323</v>
      </c>
      <c r="H140" s="23">
        <f t="shared" si="26"/>
        <v>1171291</v>
      </c>
      <c r="I140" s="28">
        <f>TRUNC(TRUNC(일위대가목록!G37,0)*AV140/100,0)</f>
        <v>0</v>
      </c>
      <c r="J140" s="23">
        <f t="shared" si="27"/>
        <v>0</v>
      </c>
      <c r="K140" s="28">
        <f t="shared" si="28"/>
        <v>3323</v>
      </c>
      <c r="L140" s="23">
        <f t="shared" si="29"/>
        <v>1171291</v>
      </c>
      <c r="M140" s="29" t="s">
        <v>823</v>
      </c>
      <c r="N140" s="13" t="str">
        <f>HYPERLINK("#일위대가목록!A37", "AQA800106503")</f>
        <v>AQA800106503</v>
      </c>
      <c r="O140" s="14" t="s">
        <v>823</v>
      </c>
      <c r="P140" s="14" t="s">
        <v>823</v>
      </c>
      <c r="Q140" s="14" t="s">
        <v>669</v>
      </c>
      <c r="R140" s="31">
        <v>2212868</v>
      </c>
      <c r="S140" s="31">
        <v>100</v>
      </c>
      <c r="T140" s="14" t="s">
        <v>904</v>
      </c>
      <c r="U140" s="14" t="s">
        <v>510</v>
      </c>
      <c r="V140" s="14" t="s">
        <v>510</v>
      </c>
      <c r="W140" s="14" t="s">
        <v>823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0</v>
      </c>
      <c r="AI140" s="31">
        <v>104</v>
      </c>
      <c r="AJ140" s="31">
        <v>0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1">
        <v>0</v>
      </c>
      <c r="AQ140" s="31">
        <v>0</v>
      </c>
      <c r="AR140" s="31">
        <v>0</v>
      </c>
      <c r="AS140" s="31">
        <v>0</v>
      </c>
      <c r="AT140" s="31">
        <v>0</v>
      </c>
      <c r="AU140" s="14"/>
      <c r="AV140" s="31">
        <v>100</v>
      </c>
      <c r="AW140" s="3" t="s">
        <v>1101</v>
      </c>
    </row>
    <row r="141" spans="1:49" ht="28.5" customHeight="1" x14ac:dyDescent="0.3">
      <c r="A141" s="5" t="s">
        <v>1242</v>
      </c>
      <c r="B141" s="29" t="s">
        <v>823</v>
      </c>
      <c r="C141" s="5" t="s">
        <v>1187</v>
      </c>
      <c r="D141" s="10">
        <v>18.739999999999998</v>
      </c>
      <c r="E141" s="28">
        <f>TRUNC(TRUNC(일위대가목록!E38,0)*AV141/100,0)</f>
        <v>0</v>
      </c>
      <c r="F141" s="23">
        <f t="shared" si="25"/>
        <v>0</v>
      </c>
      <c r="G141" s="28">
        <f>TRUNC(TRUNC(일위대가목록!F38,0)*AV141/100,0)</f>
        <v>10514</v>
      </c>
      <c r="H141" s="23">
        <f t="shared" si="26"/>
        <v>197032</v>
      </c>
      <c r="I141" s="28">
        <f>TRUNC(TRUNC(일위대가목록!G38,0)*AV141/100,0)</f>
        <v>105</v>
      </c>
      <c r="J141" s="23">
        <f t="shared" si="27"/>
        <v>1967</v>
      </c>
      <c r="K141" s="28">
        <f t="shared" si="28"/>
        <v>10619</v>
      </c>
      <c r="L141" s="23">
        <f t="shared" si="29"/>
        <v>198999</v>
      </c>
      <c r="M141" s="29" t="s">
        <v>823</v>
      </c>
      <c r="N141" s="13" t="str">
        <f>HYPERLINK("#일위대가목록!A38", "AQA900120740")</f>
        <v>AQA900120740</v>
      </c>
      <c r="O141" s="14" t="s">
        <v>823</v>
      </c>
      <c r="P141" s="14" t="s">
        <v>823</v>
      </c>
      <c r="Q141" s="14" t="s">
        <v>669</v>
      </c>
      <c r="R141" s="31">
        <v>2212868</v>
      </c>
      <c r="S141" s="31">
        <v>110</v>
      </c>
      <c r="T141" s="14" t="s">
        <v>904</v>
      </c>
      <c r="U141" s="14" t="s">
        <v>510</v>
      </c>
      <c r="V141" s="14" t="s">
        <v>510</v>
      </c>
      <c r="W141" s="14" t="s">
        <v>823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  <c r="AH141" s="31">
        <v>0</v>
      </c>
      <c r="AI141" s="31">
        <v>104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1">
        <v>0</v>
      </c>
      <c r="AQ141" s="31">
        <v>0</v>
      </c>
      <c r="AR141" s="31">
        <v>0</v>
      </c>
      <c r="AS141" s="31">
        <v>0</v>
      </c>
      <c r="AT141" s="31">
        <v>0</v>
      </c>
      <c r="AU141" s="14"/>
      <c r="AV141" s="31">
        <v>100</v>
      </c>
      <c r="AW141" s="3" t="s">
        <v>1065</v>
      </c>
    </row>
    <row r="142" spans="1:49" ht="28.5" customHeight="1" x14ac:dyDescent="0.3">
      <c r="A142" s="5" t="s">
        <v>570</v>
      </c>
      <c r="B142" s="29" t="s">
        <v>588</v>
      </c>
      <c r="C142" s="5" t="s">
        <v>1004</v>
      </c>
      <c r="D142" s="10">
        <v>15.92</v>
      </c>
      <c r="E142" s="28">
        <f>TRUNC(TRUNC(일위대가목록!E39,0)*AV142/100,0)</f>
        <v>641</v>
      </c>
      <c r="F142" s="23">
        <f t="shared" si="25"/>
        <v>10204</v>
      </c>
      <c r="G142" s="28">
        <f>TRUNC(TRUNC(일위대가목록!F39,0)*AV142/100,0)</f>
        <v>12827</v>
      </c>
      <c r="H142" s="23">
        <f t="shared" si="26"/>
        <v>204205</v>
      </c>
      <c r="I142" s="28">
        <f>TRUNC(TRUNC(일위대가목록!G39,0)*AV142/100,0)</f>
        <v>0</v>
      </c>
      <c r="J142" s="23">
        <f t="shared" si="27"/>
        <v>0</v>
      </c>
      <c r="K142" s="28">
        <f t="shared" si="28"/>
        <v>13468</v>
      </c>
      <c r="L142" s="23">
        <f t="shared" si="29"/>
        <v>214409</v>
      </c>
      <c r="M142" s="29" t="s">
        <v>823</v>
      </c>
      <c r="N142" s="13" t="str">
        <f>HYPERLINK("#일위대가목록!A39", "AQA900150010")</f>
        <v>AQA900150010</v>
      </c>
      <c r="O142" s="14" t="s">
        <v>823</v>
      </c>
      <c r="P142" s="14" t="s">
        <v>823</v>
      </c>
      <c r="Q142" s="14" t="s">
        <v>669</v>
      </c>
      <c r="R142" s="31">
        <v>2212868</v>
      </c>
      <c r="S142" s="31">
        <v>120</v>
      </c>
      <c r="T142" s="14" t="s">
        <v>904</v>
      </c>
      <c r="U142" s="14" t="s">
        <v>510</v>
      </c>
      <c r="V142" s="14" t="s">
        <v>510</v>
      </c>
      <c r="W142" s="14" t="s">
        <v>823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104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31">
        <v>0</v>
      </c>
      <c r="AP142" s="31">
        <v>0</v>
      </c>
      <c r="AQ142" s="31">
        <v>0</v>
      </c>
      <c r="AR142" s="31">
        <v>0</v>
      </c>
      <c r="AS142" s="31">
        <v>0</v>
      </c>
      <c r="AT142" s="31">
        <v>0</v>
      </c>
      <c r="AU142" s="14"/>
      <c r="AV142" s="31">
        <v>100</v>
      </c>
      <c r="AW142" s="3" t="s">
        <v>56</v>
      </c>
    </row>
    <row r="143" spans="1:49" ht="28.5" customHeight="1" x14ac:dyDescent="0.3">
      <c r="A143" s="5" t="s">
        <v>570</v>
      </c>
      <c r="B143" s="29" t="s">
        <v>411</v>
      </c>
      <c r="C143" s="5" t="s">
        <v>1004</v>
      </c>
      <c r="D143" s="10">
        <v>16.8</v>
      </c>
      <c r="E143" s="28">
        <f>TRUNC(TRUNC(일위대가목록!E40,0)*AV143/100,0)</f>
        <v>1892</v>
      </c>
      <c r="F143" s="23">
        <f t="shared" si="25"/>
        <v>31785</v>
      </c>
      <c r="G143" s="28">
        <f>TRUNC(TRUNC(일위대가목록!F40,0)*AV143/100,0)</f>
        <v>37856</v>
      </c>
      <c r="H143" s="23">
        <f t="shared" si="26"/>
        <v>635980</v>
      </c>
      <c r="I143" s="28">
        <f>TRUNC(TRUNC(일위대가목록!G40,0)*AV143/100,0)</f>
        <v>0</v>
      </c>
      <c r="J143" s="23">
        <f t="shared" si="27"/>
        <v>0</v>
      </c>
      <c r="K143" s="28">
        <f t="shared" si="28"/>
        <v>39748</v>
      </c>
      <c r="L143" s="23">
        <f t="shared" si="29"/>
        <v>667765</v>
      </c>
      <c r="M143" s="29" t="s">
        <v>823</v>
      </c>
      <c r="N143" s="13" t="str">
        <f>HYPERLINK("#일위대가목록!A40", "AQA900150047")</f>
        <v>AQA900150047</v>
      </c>
      <c r="O143" s="14" t="s">
        <v>823</v>
      </c>
      <c r="P143" s="14" t="s">
        <v>823</v>
      </c>
      <c r="Q143" s="14" t="s">
        <v>669</v>
      </c>
      <c r="R143" s="31">
        <v>2212868</v>
      </c>
      <c r="S143" s="31">
        <v>130</v>
      </c>
      <c r="T143" s="14" t="s">
        <v>904</v>
      </c>
      <c r="U143" s="14" t="s">
        <v>510</v>
      </c>
      <c r="V143" s="14" t="s">
        <v>510</v>
      </c>
      <c r="W143" s="14" t="s">
        <v>823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  <c r="AH143" s="31">
        <v>0</v>
      </c>
      <c r="AI143" s="31">
        <v>104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0</v>
      </c>
      <c r="AQ143" s="31">
        <v>0</v>
      </c>
      <c r="AR143" s="31">
        <v>0</v>
      </c>
      <c r="AS143" s="31">
        <v>0</v>
      </c>
      <c r="AT143" s="31">
        <v>0</v>
      </c>
      <c r="AU143" s="14"/>
      <c r="AV143" s="31">
        <v>100</v>
      </c>
      <c r="AW143" s="3" t="s">
        <v>1005</v>
      </c>
    </row>
    <row r="144" spans="1:49" ht="28.5" customHeight="1" x14ac:dyDescent="0.3">
      <c r="A144" s="5" t="s">
        <v>515</v>
      </c>
      <c r="B144" s="29" t="s">
        <v>823</v>
      </c>
      <c r="C144" s="5" t="s">
        <v>1004</v>
      </c>
      <c r="D144" s="10">
        <v>15.92</v>
      </c>
      <c r="E144" s="28">
        <f>TRUNC(TRUNC(일위대가목록!E41,0)*AV144/100,0)</f>
        <v>192</v>
      </c>
      <c r="F144" s="23">
        <f t="shared" si="25"/>
        <v>3056</v>
      </c>
      <c r="G144" s="28">
        <f>TRUNC(TRUNC(일위대가목록!F41,0)*AV144/100,0)</f>
        <v>3848</v>
      </c>
      <c r="H144" s="23">
        <f t="shared" si="26"/>
        <v>61260</v>
      </c>
      <c r="I144" s="28">
        <f>TRUNC(TRUNC(일위대가목록!G41,0)*AV144/100,0)</f>
        <v>0</v>
      </c>
      <c r="J144" s="23">
        <f t="shared" si="27"/>
        <v>0</v>
      </c>
      <c r="K144" s="28">
        <f t="shared" si="28"/>
        <v>4040</v>
      </c>
      <c r="L144" s="23">
        <f t="shared" si="29"/>
        <v>64316</v>
      </c>
      <c r="M144" s="29" t="s">
        <v>823</v>
      </c>
      <c r="N144" s="13" t="str">
        <f>HYPERLINK("#일위대가목록!A41", "AQA900150071")</f>
        <v>AQA900150071</v>
      </c>
      <c r="O144" s="14" t="s">
        <v>823</v>
      </c>
      <c r="P144" s="14" t="s">
        <v>823</v>
      </c>
      <c r="Q144" s="14" t="s">
        <v>669</v>
      </c>
      <c r="R144" s="31">
        <v>2212868</v>
      </c>
      <c r="S144" s="31">
        <v>140</v>
      </c>
      <c r="T144" s="14" t="s">
        <v>904</v>
      </c>
      <c r="U144" s="14" t="s">
        <v>510</v>
      </c>
      <c r="V144" s="14" t="s">
        <v>510</v>
      </c>
      <c r="W144" s="14" t="s">
        <v>823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  <c r="AH144" s="31">
        <v>0</v>
      </c>
      <c r="AI144" s="31">
        <v>104</v>
      </c>
      <c r="AJ144" s="31">
        <v>0</v>
      </c>
      <c r="AK144" s="31">
        <v>0</v>
      </c>
      <c r="AL144" s="31">
        <v>0</v>
      </c>
      <c r="AM144" s="31">
        <v>0</v>
      </c>
      <c r="AN144" s="31">
        <v>0</v>
      </c>
      <c r="AO144" s="31">
        <v>0</v>
      </c>
      <c r="AP144" s="31">
        <v>0</v>
      </c>
      <c r="AQ144" s="31">
        <v>0</v>
      </c>
      <c r="AR144" s="31">
        <v>0</v>
      </c>
      <c r="AS144" s="31">
        <v>0</v>
      </c>
      <c r="AT144" s="31">
        <v>0</v>
      </c>
      <c r="AU144" s="14"/>
      <c r="AV144" s="31">
        <v>100</v>
      </c>
      <c r="AW144" s="3" t="s">
        <v>1095</v>
      </c>
    </row>
    <row r="145" spans="1:49" ht="28.5" customHeight="1" x14ac:dyDescent="0.3">
      <c r="A145" s="5" t="s">
        <v>823</v>
      </c>
      <c r="B145" s="5" t="s">
        <v>823</v>
      </c>
      <c r="C145" s="5" t="s">
        <v>823</v>
      </c>
      <c r="D145" s="23">
        <v>0</v>
      </c>
      <c r="E145" s="28">
        <v>0</v>
      </c>
      <c r="F145" s="23">
        <f t="shared" si="25"/>
        <v>0</v>
      </c>
      <c r="G145" s="28">
        <v>0</v>
      </c>
      <c r="H145" s="23">
        <f t="shared" si="26"/>
        <v>0</v>
      </c>
      <c r="I145" s="28">
        <v>0</v>
      </c>
      <c r="J145" s="23">
        <f t="shared" si="27"/>
        <v>0</v>
      </c>
      <c r="K145" s="28">
        <f t="shared" si="28"/>
        <v>0</v>
      </c>
      <c r="L145" s="23">
        <f t="shared" si="29"/>
        <v>0</v>
      </c>
      <c r="M145" s="5" t="s">
        <v>823</v>
      </c>
      <c r="N145" s="5" t="s">
        <v>823</v>
      </c>
      <c r="O145" s="5" t="s">
        <v>823</v>
      </c>
      <c r="P145" s="5" t="s">
        <v>823</v>
      </c>
      <c r="AU145" s="14"/>
      <c r="AV145" s="31">
        <v>0</v>
      </c>
      <c r="AW145" s="3" t="s">
        <v>823</v>
      </c>
    </row>
    <row r="146" spans="1:49" ht="28.5" customHeight="1" x14ac:dyDescent="0.3">
      <c r="A146" s="5" t="s">
        <v>823</v>
      </c>
      <c r="B146" s="5" t="s">
        <v>823</v>
      </c>
      <c r="C146" s="5" t="s">
        <v>823</v>
      </c>
      <c r="D146" s="23">
        <v>0</v>
      </c>
      <c r="E146" s="28">
        <v>0</v>
      </c>
      <c r="F146" s="23">
        <f t="shared" si="25"/>
        <v>0</v>
      </c>
      <c r="G146" s="28">
        <v>0</v>
      </c>
      <c r="H146" s="23">
        <f t="shared" si="26"/>
        <v>0</v>
      </c>
      <c r="I146" s="28">
        <v>0</v>
      </c>
      <c r="J146" s="23">
        <f t="shared" si="27"/>
        <v>0</v>
      </c>
      <c r="K146" s="28">
        <f t="shared" si="28"/>
        <v>0</v>
      </c>
      <c r="L146" s="23">
        <f t="shared" si="29"/>
        <v>0</v>
      </c>
      <c r="M146" s="5" t="s">
        <v>823</v>
      </c>
      <c r="N146" s="5" t="s">
        <v>823</v>
      </c>
      <c r="O146" s="5" t="s">
        <v>823</v>
      </c>
      <c r="P146" s="5" t="s">
        <v>823</v>
      </c>
      <c r="AU146" s="14"/>
      <c r="AV146" s="31">
        <v>0</v>
      </c>
      <c r="AW146" s="3" t="s">
        <v>823</v>
      </c>
    </row>
    <row r="147" spans="1:49" ht="28.5" customHeight="1" x14ac:dyDescent="0.3">
      <c r="A147" s="5" t="s">
        <v>823</v>
      </c>
      <c r="B147" s="5" t="s">
        <v>823</v>
      </c>
      <c r="C147" s="5" t="s">
        <v>823</v>
      </c>
      <c r="D147" s="23">
        <v>0</v>
      </c>
      <c r="E147" s="28">
        <v>0</v>
      </c>
      <c r="F147" s="23">
        <f t="shared" si="25"/>
        <v>0</v>
      </c>
      <c r="G147" s="28">
        <v>0</v>
      </c>
      <c r="H147" s="23">
        <f t="shared" si="26"/>
        <v>0</v>
      </c>
      <c r="I147" s="28">
        <v>0</v>
      </c>
      <c r="J147" s="23">
        <f t="shared" si="27"/>
        <v>0</v>
      </c>
      <c r="K147" s="28">
        <f t="shared" si="28"/>
        <v>0</v>
      </c>
      <c r="L147" s="23">
        <f t="shared" si="29"/>
        <v>0</v>
      </c>
      <c r="M147" s="5" t="s">
        <v>823</v>
      </c>
      <c r="N147" s="5" t="s">
        <v>823</v>
      </c>
      <c r="O147" s="5" t="s">
        <v>823</v>
      </c>
      <c r="P147" s="5" t="s">
        <v>823</v>
      </c>
      <c r="AU147" s="14"/>
      <c r="AV147" s="31">
        <v>0</v>
      </c>
      <c r="AW147" s="3" t="s">
        <v>823</v>
      </c>
    </row>
    <row r="148" spans="1:49" ht="28.5" customHeight="1" x14ac:dyDescent="0.3">
      <c r="A148" s="5" t="s">
        <v>823</v>
      </c>
      <c r="B148" s="5" t="s">
        <v>823</v>
      </c>
      <c r="C148" s="5" t="s">
        <v>823</v>
      </c>
      <c r="D148" s="23">
        <v>0</v>
      </c>
      <c r="E148" s="28">
        <v>0</v>
      </c>
      <c r="F148" s="23">
        <f t="shared" si="25"/>
        <v>0</v>
      </c>
      <c r="G148" s="28">
        <v>0</v>
      </c>
      <c r="H148" s="23">
        <f t="shared" si="26"/>
        <v>0</v>
      </c>
      <c r="I148" s="28">
        <v>0</v>
      </c>
      <c r="J148" s="23">
        <f t="shared" si="27"/>
        <v>0</v>
      </c>
      <c r="K148" s="28">
        <f t="shared" si="28"/>
        <v>0</v>
      </c>
      <c r="L148" s="23">
        <f t="shared" si="29"/>
        <v>0</v>
      </c>
      <c r="M148" s="5" t="s">
        <v>823</v>
      </c>
      <c r="N148" s="5" t="s">
        <v>823</v>
      </c>
      <c r="O148" s="5" t="s">
        <v>823</v>
      </c>
      <c r="P148" s="5" t="s">
        <v>823</v>
      </c>
      <c r="AU148" s="14"/>
      <c r="AV148" s="31">
        <v>0</v>
      </c>
      <c r="AW148" s="3" t="s">
        <v>823</v>
      </c>
    </row>
    <row r="149" spans="1:49" ht="28.5" customHeight="1" x14ac:dyDescent="0.3">
      <c r="A149" s="5" t="s">
        <v>823</v>
      </c>
      <c r="B149" s="5" t="s">
        <v>823</v>
      </c>
      <c r="C149" s="5" t="s">
        <v>823</v>
      </c>
      <c r="D149" s="23">
        <v>0</v>
      </c>
      <c r="E149" s="28">
        <v>0</v>
      </c>
      <c r="F149" s="23">
        <f t="shared" si="25"/>
        <v>0</v>
      </c>
      <c r="G149" s="28">
        <v>0</v>
      </c>
      <c r="H149" s="23">
        <f t="shared" si="26"/>
        <v>0</v>
      </c>
      <c r="I149" s="28">
        <v>0</v>
      </c>
      <c r="J149" s="23">
        <f t="shared" si="27"/>
        <v>0</v>
      </c>
      <c r="K149" s="28">
        <f t="shared" si="28"/>
        <v>0</v>
      </c>
      <c r="L149" s="23">
        <f t="shared" si="29"/>
        <v>0</v>
      </c>
      <c r="M149" s="5" t="s">
        <v>823</v>
      </c>
      <c r="N149" s="5" t="s">
        <v>823</v>
      </c>
      <c r="O149" s="5" t="s">
        <v>823</v>
      </c>
      <c r="P149" s="5" t="s">
        <v>823</v>
      </c>
      <c r="AU149" s="14"/>
      <c r="AV149" s="31">
        <v>0</v>
      </c>
      <c r="AW149" s="3" t="s">
        <v>823</v>
      </c>
    </row>
    <row r="150" spans="1:49" ht="28.5" customHeight="1" x14ac:dyDescent="0.3">
      <c r="A150" s="5" t="s">
        <v>823</v>
      </c>
      <c r="B150" s="5" t="s">
        <v>823</v>
      </c>
      <c r="C150" s="5" t="s">
        <v>823</v>
      </c>
      <c r="D150" s="23">
        <v>0</v>
      </c>
      <c r="E150" s="28">
        <v>0</v>
      </c>
      <c r="F150" s="23">
        <f t="shared" si="25"/>
        <v>0</v>
      </c>
      <c r="G150" s="28">
        <v>0</v>
      </c>
      <c r="H150" s="23">
        <f t="shared" si="26"/>
        <v>0</v>
      </c>
      <c r="I150" s="28">
        <v>0</v>
      </c>
      <c r="J150" s="23">
        <f t="shared" si="27"/>
        <v>0</v>
      </c>
      <c r="K150" s="28">
        <f t="shared" si="28"/>
        <v>0</v>
      </c>
      <c r="L150" s="23">
        <f t="shared" si="29"/>
        <v>0</v>
      </c>
      <c r="M150" s="5" t="s">
        <v>823</v>
      </c>
      <c r="N150" s="5" t="s">
        <v>823</v>
      </c>
      <c r="O150" s="5" t="s">
        <v>823</v>
      </c>
      <c r="P150" s="5" t="s">
        <v>823</v>
      </c>
      <c r="AU150" s="14"/>
      <c r="AV150" s="31">
        <v>0</v>
      </c>
      <c r="AW150" s="3" t="s">
        <v>823</v>
      </c>
    </row>
    <row r="151" spans="1:49" ht="28.5" customHeight="1" x14ac:dyDescent="0.3">
      <c r="A151" s="5" t="s">
        <v>823</v>
      </c>
      <c r="B151" s="5" t="s">
        <v>823</v>
      </c>
      <c r="C151" s="5" t="s">
        <v>823</v>
      </c>
      <c r="D151" s="23">
        <v>0</v>
      </c>
      <c r="E151" s="28">
        <v>0</v>
      </c>
      <c r="F151" s="23">
        <f t="shared" si="25"/>
        <v>0</v>
      </c>
      <c r="G151" s="28">
        <v>0</v>
      </c>
      <c r="H151" s="23">
        <f t="shared" si="26"/>
        <v>0</v>
      </c>
      <c r="I151" s="28">
        <v>0</v>
      </c>
      <c r="J151" s="23">
        <f t="shared" si="27"/>
        <v>0</v>
      </c>
      <c r="K151" s="28">
        <f t="shared" si="28"/>
        <v>0</v>
      </c>
      <c r="L151" s="23">
        <f t="shared" si="29"/>
        <v>0</v>
      </c>
      <c r="M151" s="5" t="s">
        <v>823</v>
      </c>
      <c r="N151" s="5" t="s">
        <v>823</v>
      </c>
      <c r="O151" s="5" t="s">
        <v>823</v>
      </c>
      <c r="P151" s="5" t="s">
        <v>823</v>
      </c>
      <c r="AU151" s="14"/>
      <c r="AV151" s="31">
        <v>0</v>
      </c>
      <c r="AW151" s="3" t="s">
        <v>823</v>
      </c>
    </row>
    <row r="152" spans="1:49" ht="28.5" customHeight="1" x14ac:dyDescent="0.3">
      <c r="A152" s="5" t="s">
        <v>823</v>
      </c>
      <c r="B152" s="5" t="s">
        <v>823</v>
      </c>
      <c r="C152" s="5" t="s">
        <v>823</v>
      </c>
      <c r="D152" s="23">
        <v>0</v>
      </c>
      <c r="E152" s="28">
        <v>0</v>
      </c>
      <c r="F152" s="23">
        <f t="shared" si="25"/>
        <v>0</v>
      </c>
      <c r="G152" s="28">
        <v>0</v>
      </c>
      <c r="H152" s="23">
        <f t="shared" si="26"/>
        <v>0</v>
      </c>
      <c r="I152" s="28">
        <v>0</v>
      </c>
      <c r="J152" s="23">
        <f t="shared" si="27"/>
        <v>0</v>
      </c>
      <c r="K152" s="28">
        <f t="shared" si="28"/>
        <v>0</v>
      </c>
      <c r="L152" s="23">
        <f t="shared" si="29"/>
        <v>0</v>
      </c>
      <c r="M152" s="5" t="s">
        <v>823</v>
      </c>
      <c r="N152" s="5" t="s">
        <v>823</v>
      </c>
      <c r="O152" s="5" t="s">
        <v>823</v>
      </c>
      <c r="P152" s="5" t="s">
        <v>823</v>
      </c>
      <c r="AU152" s="14"/>
      <c r="AV152" s="31">
        <v>0</v>
      </c>
      <c r="AW152" s="3" t="s">
        <v>823</v>
      </c>
    </row>
    <row r="153" spans="1:49" ht="28.5" customHeight="1" x14ac:dyDescent="0.3">
      <c r="A153" s="5" t="s">
        <v>823</v>
      </c>
      <c r="B153" s="5" t="s">
        <v>823</v>
      </c>
      <c r="C153" s="5" t="s">
        <v>823</v>
      </c>
      <c r="D153" s="23">
        <v>0</v>
      </c>
      <c r="E153" s="28">
        <v>0</v>
      </c>
      <c r="F153" s="23">
        <f t="shared" si="25"/>
        <v>0</v>
      </c>
      <c r="G153" s="28">
        <v>0</v>
      </c>
      <c r="H153" s="23">
        <f t="shared" si="26"/>
        <v>0</v>
      </c>
      <c r="I153" s="28">
        <v>0</v>
      </c>
      <c r="J153" s="23">
        <f t="shared" si="27"/>
        <v>0</v>
      </c>
      <c r="K153" s="28">
        <f t="shared" si="28"/>
        <v>0</v>
      </c>
      <c r="L153" s="23">
        <f t="shared" si="29"/>
        <v>0</v>
      </c>
      <c r="M153" s="5" t="s">
        <v>823</v>
      </c>
      <c r="N153" s="5" t="s">
        <v>823</v>
      </c>
      <c r="O153" s="5" t="s">
        <v>823</v>
      </c>
      <c r="P153" s="5" t="s">
        <v>823</v>
      </c>
      <c r="AU153" s="14"/>
      <c r="AV153" s="31">
        <v>0</v>
      </c>
      <c r="AW153" s="3" t="s">
        <v>823</v>
      </c>
    </row>
    <row r="154" spans="1:49" ht="28.5" customHeight="1" x14ac:dyDescent="0.3">
      <c r="A154" s="5" t="s">
        <v>141</v>
      </c>
      <c r="B154" s="5" t="s">
        <v>823</v>
      </c>
      <c r="C154" s="5" t="s">
        <v>823</v>
      </c>
      <c r="D154" s="5" t="s">
        <v>823</v>
      </c>
      <c r="E154" s="18">
        <v>0</v>
      </c>
      <c r="F154" s="23">
        <f>TRUNC(SUMIF(Q131:Q153, Q130,F131:F153),0)</f>
        <v>139886</v>
      </c>
      <c r="G154" s="23">
        <v>0</v>
      </c>
      <c r="H154" s="23">
        <f>TRUNC(SUMIF(Q131:Q153, Q130,H131:H153),0)</f>
        <v>12620174</v>
      </c>
      <c r="I154" s="23">
        <v>0</v>
      </c>
      <c r="J154" s="23">
        <f>TRUNC(SUMIF(Q131:Q153, Q130,J131:J153),0)</f>
        <v>92010</v>
      </c>
      <c r="K154" s="15" t="s">
        <v>823</v>
      </c>
      <c r="L154" s="23">
        <f>F154+H154+J154</f>
        <v>12852070</v>
      </c>
      <c r="M154" s="5"/>
      <c r="AW154" s="5" t="s">
        <v>823</v>
      </c>
    </row>
    <row r="155" spans="1:49" ht="28.5" customHeight="1" x14ac:dyDescent="0.3">
      <c r="A155" s="19" t="s">
        <v>1146</v>
      </c>
      <c r="B155" s="5"/>
      <c r="C155" s="5"/>
      <c r="D155" s="5" t="s">
        <v>823</v>
      </c>
      <c r="E155" s="5" t="s">
        <v>823</v>
      </c>
      <c r="F155" s="5" t="s">
        <v>823</v>
      </c>
      <c r="G155" s="5" t="s">
        <v>823</v>
      </c>
      <c r="H155" s="5" t="s">
        <v>823</v>
      </c>
      <c r="I155" s="5" t="s">
        <v>823</v>
      </c>
      <c r="J155" s="5" t="s">
        <v>823</v>
      </c>
      <c r="K155" s="5" t="s">
        <v>823</v>
      </c>
      <c r="L155" s="5" t="s">
        <v>823</v>
      </c>
      <c r="M155" s="5" t="s">
        <v>823</v>
      </c>
      <c r="N155" s="2" t="s">
        <v>823</v>
      </c>
      <c r="Q155" s="14" t="s">
        <v>131</v>
      </c>
      <c r="R155" s="31">
        <v>2264354</v>
      </c>
      <c r="S155" s="31">
        <v>0</v>
      </c>
      <c r="AH155" s="14"/>
      <c r="AW155" s="5" t="s">
        <v>823</v>
      </c>
    </row>
    <row r="156" spans="1:49" ht="28.5" customHeight="1" x14ac:dyDescent="0.3">
      <c r="A156" s="5" t="s">
        <v>640</v>
      </c>
      <c r="B156" s="29" t="s">
        <v>1141</v>
      </c>
      <c r="C156" s="5" t="s">
        <v>1175</v>
      </c>
      <c r="D156" s="10">
        <v>6.47</v>
      </c>
      <c r="E156" s="28">
        <f>TRUNC(TRUNC(중기단가목록!E4,0)*AV156/100,0)</f>
        <v>0</v>
      </c>
      <c r="F156" s="23">
        <f t="shared" ref="F156:F178" si="30">TRUNC(D156*E156,0)</f>
        <v>0</v>
      </c>
      <c r="G156" s="28">
        <f>TRUNC(TRUNC(중기단가목록!F4,0)*AV156/100,0)</f>
        <v>0</v>
      </c>
      <c r="H156" s="23">
        <f t="shared" ref="H156:H178" si="31">TRUNC(D156*G156,0)</f>
        <v>0</v>
      </c>
      <c r="I156" s="28">
        <f>TRUNC(TRUNC(중기단가목록!G4,0)*AV156/100,0)</f>
        <v>15547</v>
      </c>
      <c r="J156" s="23">
        <f t="shared" ref="J156:J178" si="32">TRUNC(D156*I156,0)</f>
        <v>100589</v>
      </c>
      <c r="K156" s="28">
        <f t="shared" ref="K156:K178" si="33">TRUNC(E156+G156+I156,0)</f>
        <v>15547</v>
      </c>
      <c r="L156" s="23">
        <f t="shared" ref="L156:L178" si="34">TRUNC(F156+H156+J156,0)</f>
        <v>100589</v>
      </c>
      <c r="M156" s="29" t="s">
        <v>823</v>
      </c>
      <c r="N156" s="13" t="str">
        <f>HYPERLINK("#중기단가산출서!A4", "ATA400100400")</f>
        <v>ATA400100400</v>
      </c>
      <c r="O156" s="14" t="s">
        <v>823</v>
      </c>
      <c r="P156" s="14" t="s">
        <v>823</v>
      </c>
      <c r="Q156" s="14" t="s">
        <v>131</v>
      </c>
      <c r="R156" s="31">
        <v>2264354</v>
      </c>
      <c r="S156" s="31">
        <v>10</v>
      </c>
      <c r="T156" s="14" t="s">
        <v>510</v>
      </c>
      <c r="U156" s="14" t="s">
        <v>904</v>
      </c>
      <c r="V156" s="14" t="s">
        <v>510</v>
      </c>
      <c r="W156" s="14" t="s">
        <v>823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  <c r="AH156" s="31">
        <v>0</v>
      </c>
      <c r="AI156" s="31">
        <v>119</v>
      </c>
      <c r="AJ156" s="31">
        <v>0</v>
      </c>
      <c r="AK156" s="31">
        <v>0</v>
      </c>
      <c r="AL156" s="31">
        <v>0</v>
      </c>
      <c r="AM156" s="31">
        <v>0</v>
      </c>
      <c r="AN156" s="31">
        <v>0</v>
      </c>
      <c r="AO156" s="31">
        <v>0</v>
      </c>
      <c r="AP156" s="31">
        <v>0</v>
      </c>
      <c r="AQ156" s="31">
        <v>0</v>
      </c>
      <c r="AR156" s="31">
        <v>0</v>
      </c>
      <c r="AS156" s="31">
        <v>0</v>
      </c>
      <c r="AT156" s="31">
        <v>0</v>
      </c>
      <c r="AU156" s="14"/>
      <c r="AV156" s="31">
        <v>100</v>
      </c>
      <c r="AW156" s="3" t="s">
        <v>494</v>
      </c>
    </row>
    <row r="157" spans="1:49" ht="28.5" customHeight="1" x14ac:dyDescent="0.3">
      <c r="A157" s="5" t="s">
        <v>823</v>
      </c>
      <c r="B157" s="5" t="s">
        <v>823</v>
      </c>
      <c r="C157" s="5" t="s">
        <v>823</v>
      </c>
      <c r="D157" s="23">
        <v>0</v>
      </c>
      <c r="E157" s="28">
        <v>0</v>
      </c>
      <c r="F157" s="23">
        <f t="shared" si="30"/>
        <v>0</v>
      </c>
      <c r="G157" s="28">
        <v>0</v>
      </c>
      <c r="H157" s="23">
        <f t="shared" si="31"/>
        <v>0</v>
      </c>
      <c r="I157" s="28">
        <v>0</v>
      </c>
      <c r="J157" s="23">
        <f t="shared" si="32"/>
        <v>0</v>
      </c>
      <c r="K157" s="28">
        <f t="shared" si="33"/>
        <v>0</v>
      </c>
      <c r="L157" s="23">
        <f t="shared" si="34"/>
        <v>0</v>
      </c>
      <c r="M157" s="5" t="s">
        <v>823</v>
      </c>
      <c r="N157" s="5" t="s">
        <v>823</v>
      </c>
      <c r="O157" s="5" t="s">
        <v>823</v>
      </c>
      <c r="P157" s="5" t="s">
        <v>823</v>
      </c>
      <c r="AU157" s="14"/>
      <c r="AV157" s="31">
        <v>0</v>
      </c>
      <c r="AW157" s="3" t="s">
        <v>823</v>
      </c>
    </row>
    <row r="158" spans="1:49" ht="28.5" customHeight="1" x14ac:dyDescent="0.3">
      <c r="A158" s="5" t="s">
        <v>823</v>
      </c>
      <c r="B158" s="5" t="s">
        <v>823</v>
      </c>
      <c r="C158" s="5" t="s">
        <v>823</v>
      </c>
      <c r="D158" s="23">
        <v>0</v>
      </c>
      <c r="E158" s="28">
        <v>0</v>
      </c>
      <c r="F158" s="23">
        <f t="shared" si="30"/>
        <v>0</v>
      </c>
      <c r="G158" s="28">
        <v>0</v>
      </c>
      <c r="H158" s="23">
        <f t="shared" si="31"/>
        <v>0</v>
      </c>
      <c r="I158" s="28">
        <v>0</v>
      </c>
      <c r="J158" s="23">
        <f t="shared" si="32"/>
        <v>0</v>
      </c>
      <c r="K158" s="28">
        <f t="shared" si="33"/>
        <v>0</v>
      </c>
      <c r="L158" s="23">
        <f t="shared" si="34"/>
        <v>0</v>
      </c>
      <c r="M158" s="5" t="s">
        <v>823</v>
      </c>
      <c r="N158" s="5" t="s">
        <v>823</v>
      </c>
      <c r="O158" s="5" t="s">
        <v>823</v>
      </c>
      <c r="P158" s="5" t="s">
        <v>823</v>
      </c>
      <c r="AU158" s="14"/>
      <c r="AV158" s="31">
        <v>0</v>
      </c>
      <c r="AW158" s="3" t="s">
        <v>823</v>
      </c>
    </row>
    <row r="159" spans="1:49" ht="28.5" customHeight="1" x14ac:dyDescent="0.3">
      <c r="A159" s="5" t="s">
        <v>823</v>
      </c>
      <c r="B159" s="5" t="s">
        <v>823</v>
      </c>
      <c r="C159" s="5" t="s">
        <v>823</v>
      </c>
      <c r="D159" s="23">
        <v>0</v>
      </c>
      <c r="E159" s="28">
        <v>0</v>
      </c>
      <c r="F159" s="23">
        <f t="shared" si="30"/>
        <v>0</v>
      </c>
      <c r="G159" s="28">
        <v>0</v>
      </c>
      <c r="H159" s="23">
        <f t="shared" si="31"/>
        <v>0</v>
      </c>
      <c r="I159" s="28">
        <v>0</v>
      </c>
      <c r="J159" s="23">
        <f t="shared" si="32"/>
        <v>0</v>
      </c>
      <c r="K159" s="28">
        <f t="shared" si="33"/>
        <v>0</v>
      </c>
      <c r="L159" s="23">
        <f t="shared" si="34"/>
        <v>0</v>
      </c>
      <c r="M159" s="5" t="s">
        <v>823</v>
      </c>
      <c r="N159" s="5" t="s">
        <v>823</v>
      </c>
      <c r="O159" s="5" t="s">
        <v>823</v>
      </c>
      <c r="P159" s="5" t="s">
        <v>823</v>
      </c>
      <c r="AU159" s="14"/>
      <c r="AV159" s="31">
        <v>0</v>
      </c>
      <c r="AW159" s="3" t="s">
        <v>823</v>
      </c>
    </row>
    <row r="160" spans="1:49" ht="28.5" customHeight="1" x14ac:dyDescent="0.3">
      <c r="A160" s="5" t="s">
        <v>823</v>
      </c>
      <c r="B160" s="5" t="s">
        <v>823</v>
      </c>
      <c r="C160" s="5" t="s">
        <v>823</v>
      </c>
      <c r="D160" s="23">
        <v>0</v>
      </c>
      <c r="E160" s="28">
        <v>0</v>
      </c>
      <c r="F160" s="23">
        <f t="shared" si="30"/>
        <v>0</v>
      </c>
      <c r="G160" s="28">
        <v>0</v>
      </c>
      <c r="H160" s="23">
        <f t="shared" si="31"/>
        <v>0</v>
      </c>
      <c r="I160" s="28">
        <v>0</v>
      </c>
      <c r="J160" s="23">
        <f t="shared" si="32"/>
        <v>0</v>
      </c>
      <c r="K160" s="28">
        <f t="shared" si="33"/>
        <v>0</v>
      </c>
      <c r="L160" s="23">
        <f t="shared" si="34"/>
        <v>0</v>
      </c>
      <c r="M160" s="5" t="s">
        <v>823</v>
      </c>
      <c r="N160" s="5" t="s">
        <v>823</v>
      </c>
      <c r="O160" s="5" t="s">
        <v>823</v>
      </c>
      <c r="P160" s="5" t="s">
        <v>823</v>
      </c>
      <c r="AU160" s="14"/>
      <c r="AV160" s="31">
        <v>0</v>
      </c>
      <c r="AW160" s="3" t="s">
        <v>823</v>
      </c>
    </row>
    <row r="161" spans="1:49" ht="28.5" customHeight="1" x14ac:dyDescent="0.3">
      <c r="A161" s="5" t="s">
        <v>823</v>
      </c>
      <c r="B161" s="5" t="s">
        <v>823</v>
      </c>
      <c r="C161" s="5" t="s">
        <v>823</v>
      </c>
      <c r="D161" s="23">
        <v>0</v>
      </c>
      <c r="E161" s="28">
        <v>0</v>
      </c>
      <c r="F161" s="23">
        <f t="shared" si="30"/>
        <v>0</v>
      </c>
      <c r="G161" s="28">
        <v>0</v>
      </c>
      <c r="H161" s="23">
        <f t="shared" si="31"/>
        <v>0</v>
      </c>
      <c r="I161" s="28">
        <v>0</v>
      </c>
      <c r="J161" s="23">
        <f t="shared" si="32"/>
        <v>0</v>
      </c>
      <c r="K161" s="28">
        <f t="shared" si="33"/>
        <v>0</v>
      </c>
      <c r="L161" s="23">
        <f t="shared" si="34"/>
        <v>0</v>
      </c>
      <c r="M161" s="5" t="s">
        <v>823</v>
      </c>
      <c r="N161" s="5" t="s">
        <v>823</v>
      </c>
      <c r="O161" s="5" t="s">
        <v>823</v>
      </c>
      <c r="P161" s="5" t="s">
        <v>823</v>
      </c>
      <c r="AU161" s="14"/>
      <c r="AV161" s="31">
        <v>0</v>
      </c>
      <c r="AW161" s="3" t="s">
        <v>823</v>
      </c>
    </row>
    <row r="162" spans="1:49" ht="28.5" customHeight="1" x14ac:dyDescent="0.3">
      <c r="A162" s="5" t="s">
        <v>823</v>
      </c>
      <c r="B162" s="5" t="s">
        <v>823</v>
      </c>
      <c r="C162" s="5" t="s">
        <v>823</v>
      </c>
      <c r="D162" s="23">
        <v>0</v>
      </c>
      <c r="E162" s="28">
        <v>0</v>
      </c>
      <c r="F162" s="23">
        <f t="shared" si="30"/>
        <v>0</v>
      </c>
      <c r="G162" s="28">
        <v>0</v>
      </c>
      <c r="H162" s="23">
        <f t="shared" si="31"/>
        <v>0</v>
      </c>
      <c r="I162" s="28">
        <v>0</v>
      </c>
      <c r="J162" s="23">
        <f t="shared" si="32"/>
        <v>0</v>
      </c>
      <c r="K162" s="28">
        <f t="shared" si="33"/>
        <v>0</v>
      </c>
      <c r="L162" s="23">
        <f t="shared" si="34"/>
        <v>0</v>
      </c>
      <c r="M162" s="5" t="s">
        <v>823</v>
      </c>
      <c r="N162" s="5" t="s">
        <v>823</v>
      </c>
      <c r="O162" s="5" t="s">
        <v>823</v>
      </c>
      <c r="P162" s="5" t="s">
        <v>823</v>
      </c>
      <c r="AU162" s="14"/>
      <c r="AV162" s="31">
        <v>0</v>
      </c>
      <c r="AW162" s="3" t="s">
        <v>823</v>
      </c>
    </row>
    <row r="163" spans="1:49" ht="28.5" customHeight="1" x14ac:dyDescent="0.3">
      <c r="A163" s="5" t="s">
        <v>823</v>
      </c>
      <c r="B163" s="5" t="s">
        <v>823</v>
      </c>
      <c r="C163" s="5" t="s">
        <v>823</v>
      </c>
      <c r="D163" s="23">
        <v>0</v>
      </c>
      <c r="E163" s="28">
        <v>0</v>
      </c>
      <c r="F163" s="23">
        <f t="shared" si="30"/>
        <v>0</v>
      </c>
      <c r="G163" s="28">
        <v>0</v>
      </c>
      <c r="H163" s="23">
        <f t="shared" si="31"/>
        <v>0</v>
      </c>
      <c r="I163" s="28">
        <v>0</v>
      </c>
      <c r="J163" s="23">
        <f t="shared" si="32"/>
        <v>0</v>
      </c>
      <c r="K163" s="28">
        <f t="shared" si="33"/>
        <v>0</v>
      </c>
      <c r="L163" s="23">
        <f t="shared" si="34"/>
        <v>0</v>
      </c>
      <c r="M163" s="5" t="s">
        <v>823</v>
      </c>
      <c r="N163" s="5" t="s">
        <v>823</v>
      </c>
      <c r="O163" s="5" t="s">
        <v>823</v>
      </c>
      <c r="P163" s="5" t="s">
        <v>823</v>
      </c>
      <c r="AU163" s="14"/>
      <c r="AV163" s="31">
        <v>0</v>
      </c>
      <c r="AW163" s="3" t="s">
        <v>823</v>
      </c>
    </row>
    <row r="164" spans="1:49" ht="28.5" customHeight="1" x14ac:dyDescent="0.3">
      <c r="A164" s="5" t="s">
        <v>823</v>
      </c>
      <c r="B164" s="5" t="s">
        <v>823</v>
      </c>
      <c r="C164" s="5" t="s">
        <v>823</v>
      </c>
      <c r="D164" s="23">
        <v>0</v>
      </c>
      <c r="E164" s="28">
        <v>0</v>
      </c>
      <c r="F164" s="23">
        <f t="shared" si="30"/>
        <v>0</v>
      </c>
      <c r="G164" s="28">
        <v>0</v>
      </c>
      <c r="H164" s="23">
        <f t="shared" si="31"/>
        <v>0</v>
      </c>
      <c r="I164" s="28">
        <v>0</v>
      </c>
      <c r="J164" s="23">
        <f t="shared" si="32"/>
        <v>0</v>
      </c>
      <c r="K164" s="28">
        <f t="shared" si="33"/>
        <v>0</v>
      </c>
      <c r="L164" s="23">
        <f t="shared" si="34"/>
        <v>0</v>
      </c>
      <c r="M164" s="5" t="s">
        <v>823</v>
      </c>
      <c r="N164" s="5" t="s">
        <v>823</v>
      </c>
      <c r="O164" s="5" t="s">
        <v>823</v>
      </c>
      <c r="P164" s="5" t="s">
        <v>823</v>
      </c>
      <c r="AU164" s="14"/>
      <c r="AV164" s="31">
        <v>0</v>
      </c>
      <c r="AW164" s="3" t="s">
        <v>823</v>
      </c>
    </row>
    <row r="165" spans="1:49" ht="28.5" customHeight="1" x14ac:dyDescent="0.3">
      <c r="A165" s="5" t="s">
        <v>823</v>
      </c>
      <c r="B165" s="5" t="s">
        <v>823</v>
      </c>
      <c r="C165" s="5" t="s">
        <v>823</v>
      </c>
      <c r="D165" s="23">
        <v>0</v>
      </c>
      <c r="E165" s="28">
        <v>0</v>
      </c>
      <c r="F165" s="23">
        <f t="shared" si="30"/>
        <v>0</v>
      </c>
      <c r="G165" s="28">
        <v>0</v>
      </c>
      <c r="H165" s="23">
        <f t="shared" si="31"/>
        <v>0</v>
      </c>
      <c r="I165" s="28">
        <v>0</v>
      </c>
      <c r="J165" s="23">
        <f t="shared" si="32"/>
        <v>0</v>
      </c>
      <c r="K165" s="28">
        <f t="shared" si="33"/>
        <v>0</v>
      </c>
      <c r="L165" s="23">
        <f t="shared" si="34"/>
        <v>0</v>
      </c>
      <c r="M165" s="5" t="s">
        <v>823</v>
      </c>
      <c r="N165" s="5" t="s">
        <v>823</v>
      </c>
      <c r="O165" s="5" t="s">
        <v>823</v>
      </c>
      <c r="P165" s="5" t="s">
        <v>823</v>
      </c>
      <c r="AU165" s="14"/>
      <c r="AV165" s="31">
        <v>0</v>
      </c>
      <c r="AW165" s="3" t="s">
        <v>823</v>
      </c>
    </row>
    <row r="166" spans="1:49" ht="28.5" customHeight="1" x14ac:dyDescent="0.3">
      <c r="A166" s="5" t="s">
        <v>823</v>
      </c>
      <c r="B166" s="5" t="s">
        <v>823</v>
      </c>
      <c r="C166" s="5" t="s">
        <v>823</v>
      </c>
      <c r="D166" s="23">
        <v>0</v>
      </c>
      <c r="E166" s="28">
        <v>0</v>
      </c>
      <c r="F166" s="23">
        <f t="shared" si="30"/>
        <v>0</v>
      </c>
      <c r="G166" s="28">
        <v>0</v>
      </c>
      <c r="H166" s="23">
        <f t="shared" si="31"/>
        <v>0</v>
      </c>
      <c r="I166" s="28">
        <v>0</v>
      </c>
      <c r="J166" s="23">
        <f t="shared" si="32"/>
        <v>0</v>
      </c>
      <c r="K166" s="28">
        <f t="shared" si="33"/>
        <v>0</v>
      </c>
      <c r="L166" s="23">
        <f t="shared" si="34"/>
        <v>0</v>
      </c>
      <c r="M166" s="5" t="s">
        <v>823</v>
      </c>
      <c r="N166" s="5" t="s">
        <v>823</v>
      </c>
      <c r="O166" s="5" t="s">
        <v>823</v>
      </c>
      <c r="P166" s="5" t="s">
        <v>823</v>
      </c>
      <c r="AU166" s="14"/>
      <c r="AV166" s="31">
        <v>0</v>
      </c>
      <c r="AW166" s="3" t="s">
        <v>823</v>
      </c>
    </row>
    <row r="167" spans="1:49" ht="28.5" customHeight="1" x14ac:dyDescent="0.3">
      <c r="A167" s="5" t="s">
        <v>823</v>
      </c>
      <c r="B167" s="5" t="s">
        <v>823</v>
      </c>
      <c r="C167" s="5" t="s">
        <v>823</v>
      </c>
      <c r="D167" s="23">
        <v>0</v>
      </c>
      <c r="E167" s="28">
        <v>0</v>
      </c>
      <c r="F167" s="23">
        <f t="shared" si="30"/>
        <v>0</v>
      </c>
      <c r="G167" s="28">
        <v>0</v>
      </c>
      <c r="H167" s="23">
        <f t="shared" si="31"/>
        <v>0</v>
      </c>
      <c r="I167" s="28">
        <v>0</v>
      </c>
      <c r="J167" s="23">
        <f t="shared" si="32"/>
        <v>0</v>
      </c>
      <c r="K167" s="28">
        <f t="shared" si="33"/>
        <v>0</v>
      </c>
      <c r="L167" s="23">
        <f t="shared" si="34"/>
        <v>0</v>
      </c>
      <c r="M167" s="5" t="s">
        <v>823</v>
      </c>
      <c r="N167" s="5" t="s">
        <v>823</v>
      </c>
      <c r="O167" s="5" t="s">
        <v>823</v>
      </c>
      <c r="P167" s="5" t="s">
        <v>823</v>
      </c>
      <c r="AU167" s="14"/>
      <c r="AV167" s="31">
        <v>0</v>
      </c>
      <c r="AW167" s="3" t="s">
        <v>823</v>
      </c>
    </row>
    <row r="168" spans="1:49" ht="28.5" customHeight="1" x14ac:dyDescent="0.3">
      <c r="A168" s="5" t="s">
        <v>823</v>
      </c>
      <c r="B168" s="5" t="s">
        <v>823</v>
      </c>
      <c r="C168" s="5" t="s">
        <v>823</v>
      </c>
      <c r="D168" s="23">
        <v>0</v>
      </c>
      <c r="E168" s="28">
        <v>0</v>
      </c>
      <c r="F168" s="23">
        <f t="shared" si="30"/>
        <v>0</v>
      </c>
      <c r="G168" s="28">
        <v>0</v>
      </c>
      <c r="H168" s="23">
        <f t="shared" si="31"/>
        <v>0</v>
      </c>
      <c r="I168" s="28">
        <v>0</v>
      </c>
      <c r="J168" s="23">
        <f t="shared" si="32"/>
        <v>0</v>
      </c>
      <c r="K168" s="28">
        <f t="shared" si="33"/>
        <v>0</v>
      </c>
      <c r="L168" s="23">
        <f t="shared" si="34"/>
        <v>0</v>
      </c>
      <c r="M168" s="5" t="s">
        <v>823</v>
      </c>
      <c r="N168" s="5" t="s">
        <v>823</v>
      </c>
      <c r="O168" s="5" t="s">
        <v>823</v>
      </c>
      <c r="P168" s="5" t="s">
        <v>823</v>
      </c>
      <c r="AU168" s="14"/>
      <c r="AV168" s="31">
        <v>0</v>
      </c>
      <c r="AW168" s="3" t="s">
        <v>823</v>
      </c>
    </row>
    <row r="169" spans="1:49" ht="28.5" customHeight="1" x14ac:dyDescent="0.3">
      <c r="A169" s="5" t="s">
        <v>823</v>
      </c>
      <c r="B169" s="5" t="s">
        <v>823</v>
      </c>
      <c r="C169" s="5" t="s">
        <v>823</v>
      </c>
      <c r="D169" s="23">
        <v>0</v>
      </c>
      <c r="E169" s="28">
        <v>0</v>
      </c>
      <c r="F169" s="23">
        <f t="shared" si="30"/>
        <v>0</v>
      </c>
      <c r="G169" s="28">
        <v>0</v>
      </c>
      <c r="H169" s="23">
        <f t="shared" si="31"/>
        <v>0</v>
      </c>
      <c r="I169" s="28">
        <v>0</v>
      </c>
      <c r="J169" s="23">
        <f t="shared" si="32"/>
        <v>0</v>
      </c>
      <c r="K169" s="28">
        <f t="shared" si="33"/>
        <v>0</v>
      </c>
      <c r="L169" s="23">
        <f t="shared" si="34"/>
        <v>0</v>
      </c>
      <c r="M169" s="5" t="s">
        <v>823</v>
      </c>
      <c r="N169" s="5" t="s">
        <v>823</v>
      </c>
      <c r="O169" s="5" t="s">
        <v>823</v>
      </c>
      <c r="P169" s="5" t="s">
        <v>823</v>
      </c>
      <c r="AU169" s="14"/>
      <c r="AV169" s="31">
        <v>0</v>
      </c>
      <c r="AW169" s="3" t="s">
        <v>823</v>
      </c>
    </row>
    <row r="170" spans="1:49" ht="28.5" customHeight="1" x14ac:dyDescent="0.3">
      <c r="A170" s="5" t="s">
        <v>823</v>
      </c>
      <c r="B170" s="5" t="s">
        <v>823</v>
      </c>
      <c r="C170" s="5" t="s">
        <v>823</v>
      </c>
      <c r="D170" s="23">
        <v>0</v>
      </c>
      <c r="E170" s="28">
        <v>0</v>
      </c>
      <c r="F170" s="23">
        <f t="shared" si="30"/>
        <v>0</v>
      </c>
      <c r="G170" s="28">
        <v>0</v>
      </c>
      <c r="H170" s="23">
        <f t="shared" si="31"/>
        <v>0</v>
      </c>
      <c r="I170" s="28">
        <v>0</v>
      </c>
      <c r="J170" s="23">
        <f t="shared" si="32"/>
        <v>0</v>
      </c>
      <c r="K170" s="28">
        <f t="shared" si="33"/>
        <v>0</v>
      </c>
      <c r="L170" s="23">
        <f t="shared" si="34"/>
        <v>0</v>
      </c>
      <c r="M170" s="5" t="s">
        <v>823</v>
      </c>
      <c r="N170" s="5" t="s">
        <v>823</v>
      </c>
      <c r="O170" s="5" t="s">
        <v>823</v>
      </c>
      <c r="P170" s="5" t="s">
        <v>823</v>
      </c>
      <c r="AU170" s="14"/>
      <c r="AV170" s="31">
        <v>0</v>
      </c>
      <c r="AW170" s="3" t="s">
        <v>823</v>
      </c>
    </row>
    <row r="171" spans="1:49" ht="28.5" customHeight="1" x14ac:dyDescent="0.3">
      <c r="A171" s="5" t="s">
        <v>823</v>
      </c>
      <c r="B171" s="5" t="s">
        <v>823</v>
      </c>
      <c r="C171" s="5" t="s">
        <v>823</v>
      </c>
      <c r="D171" s="23">
        <v>0</v>
      </c>
      <c r="E171" s="28">
        <v>0</v>
      </c>
      <c r="F171" s="23">
        <f t="shared" si="30"/>
        <v>0</v>
      </c>
      <c r="G171" s="28">
        <v>0</v>
      </c>
      <c r="H171" s="23">
        <f t="shared" si="31"/>
        <v>0</v>
      </c>
      <c r="I171" s="28">
        <v>0</v>
      </c>
      <c r="J171" s="23">
        <f t="shared" si="32"/>
        <v>0</v>
      </c>
      <c r="K171" s="28">
        <f t="shared" si="33"/>
        <v>0</v>
      </c>
      <c r="L171" s="23">
        <f t="shared" si="34"/>
        <v>0</v>
      </c>
      <c r="M171" s="5" t="s">
        <v>823</v>
      </c>
      <c r="N171" s="5" t="s">
        <v>823</v>
      </c>
      <c r="O171" s="5" t="s">
        <v>823</v>
      </c>
      <c r="P171" s="5" t="s">
        <v>823</v>
      </c>
      <c r="AU171" s="14"/>
      <c r="AV171" s="31">
        <v>0</v>
      </c>
      <c r="AW171" s="3" t="s">
        <v>823</v>
      </c>
    </row>
    <row r="172" spans="1:49" ht="28.5" customHeight="1" x14ac:dyDescent="0.3">
      <c r="A172" s="5" t="s">
        <v>823</v>
      </c>
      <c r="B172" s="5" t="s">
        <v>823</v>
      </c>
      <c r="C172" s="5" t="s">
        <v>823</v>
      </c>
      <c r="D172" s="23">
        <v>0</v>
      </c>
      <c r="E172" s="28">
        <v>0</v>
      </c>
      <c r="F172" s="23">
        <f t="shared" si="30"/>
        <v>0</v>
      </c>
      <c r="G172" s="28">
        <v>0</v>
      </c>
      <c r="H172" s="23">
        <f t="shared" si="31"/>
        <v>0</v>
      </c>
      <c r="I172" s="28">
        <v>0</v>
      </c>
      <c r="J172" s="23">
        <f t="shared" si="32"/>
        <v>0</v>
      </c>
      <c r="K172" s="28">
        <f t="shared" si="33"/>
        <v>0</v>
      </c>
      <c r="L172" s="23">
        <f t="shared" si="34"/>
        <v>0</v>
      </c>
      <c r="M172" s="5" t="s">
        <v>823</v>
      </c>
      <c r="N172" s="5" t="s">
        <v>823</v>
      </c>
      <c r="O172" s="5" t="s">
        <v>823</v>
      </c>
      <c r="P172" s="5" t="s">
        <v>823</v>
      </c>
      <c r="AU172" s="14"/>
      <c r="AV172" s="31">
        <v>0</v>
      </c>
      <c r="AW172" s="3" t="s">
        <v>823</v>
      </c>
    </row>
    <row r="173" spans="1:49" ht="28.5" customHeight="1" x14ac:dyDescent="0.3">
      <c r="A173" s="5" t="s">
        <v>823</v>
      </c>
      <c r="B173" s="5" t="s">
        <v>823</v>
      </c>
      <c r="C173" s="5" t="s">
        <v>823</v>
      </c>
      <c r="D173" s="23">
        <v>0</v>
      </c>
      <c r="E173" s="28">
        <v>0</v>
      </c>
      <c r="F173" s="23">
        <f t="shared" si="30"/>
        <v>0</v>
      </c>
      <c r="G173" s="28">
        <v>0</v>
      </c>
      <c r="H173" s="23">
        <f t="shared" si="31"/>
        <v>0</v>
      </c>
      <c r="I173" s="28">
        <v>0</v>
      </c>
      <c r="J173" s="23">
        <f t="shared" si="32"/>
        <v>0</v>
      </c>
      <c r="K173" s="28">
        <f t="shared" si="33"/>
        <v>0</v>
      </c>
      <c r="L173" s="23">
        <f t="shared" si="34"/>
        <v>0</v>
      </c>
      <c r="M173" s="5" t="s">
        <v>823</v>
      </c>
      <c r="N173" s="5" t="s">
        <v>823</v>
      </c>
      <c r="O173" s="5" t="s">
        <v>823</v>
      </c>
      <c r="P173" s="5" t="s">
        <v>823</v>
      </c>
      <c r="AU173" s="14"/>
      <c r="AV173" s="31">
        <v>0</v>
      </c>
      <c r="AW173" s="3" t="s">
        <v>823</v>
      </c>
    </row>
    <row r="174" spans="1:49" ht="28.5" customHeight="1" x14ac:dyDescent="0.3">
      <c r="A174" s="5" t="s">
        <v>823</v>
      </c>
      <c r="B174" s="5" t="s">
        <v>823</v>
      </c>
      <c r="C174" s="5" t="s">
        <v>823</v>
      </c>
      <c r="D174" s="23">
        <v>0</v>
      </c>
      <c r="E174" s="28">
        <v>0</v>
      </c>
      <c r="F174" s="23">
        <f t="shared" si="30"/>
        <v>0</v>
      </c>
      <c r="G174" s="28">
        <v>0</v>
      </c>
      <c r="H174" s="23">
        <f t="shared" si="31"/>
        <v>0</v>
      </c>
      <c r="I174" s="28">
        <v>0</v>
      </c>
      <c r="J174" s="23">
        <f t="shared" si="32"/>
        <v>0</v>
      </c>
      <c r="K174" s="28">
        <f t="shared" si="33"/>
        <v>0</v>
      </c>
      <c r="L174" s="23">
        <f t="shared" si="34"/>
        <v>0</v>
      </c>
      <c r="M174" s="5" t="s">
        <v>823</v>
      </c>
      <c r="N174" s="5" t="s">
        <v>823</v>
      </c>
      <c r="O174" s="5" t="s">
        <v>823</v>
      </c>
      <c r="P174" s="5" t="s">
        <v>823</v>
      </c>
      <c r="AU174" s="14"/>
      <c r="AV174" s="31">
        <v>0</v>
      </c>
      <c r="AW174" s="3" t="s">
        <v>823</v>
      </c>
    </row>
    <row r="175" spans="1:49" ht="28.5" customHeight="1" x14ac:dyDescent="0.3">
      <c r="A175" s="5" t="s">
        <v>823</v>
      </c>
      <c r="B175" s="5" t="s">
        <v>823</v>
      </c>
      <c r="C175" s="5" t="s">
        <v>823</v>
      </c>
      <c r="D175" s="23">
        <v>0</v>
      </c>
      <c r="E175" s="28">
        <v>0</v>
      </c>
      <c r="F175" s="23">
        <f t="shared" si="30"/>
        <v>0</v>
      </c>
      <c r="G175" s="28">
        <v>0</v>
      </c>
      <c r="H175" s="23">
        <f t="shared" si="31"/>
        <v>0</v>
      </c>
      <c r="I175" s="28">
        <v>0</v>
      </c>
      <c r="J175" s="23">
        <f t="shared" si="32"/>
        <v>0</v>
      </c>
      <c r="K175" s="28">
        <f t="shared" si="33"/>
        <v>0</v>
      </c>
      <c r="L175" s="23">
        <f t="shared" si="34"/>
        <v>0</v>
      </c>
      <c r="M175" s="5" t="s">
        <v>823</v>
      </c>
      <c r="N175" s="5" t="s">
        <v>823</v>
      </c>
      <c r="O175" s="5" t="s">
        <v>823</v>
      </c>
      <c r="P175" s="5" t="s">
        <v>823</v>
      </c>
      <c r="AU175" s="14"/>
      <c r="AV175" s="31">
        <v>0</v>
      </c>
      <c r="AW175" s="3" t="s">
        <v>823</v>
      </c>
    </row>
    <row r="176" spans="1:49" ht="28.5" customHeight="1" x14ac:dyDescent="0.3">
      <c r="A176" s="5" t="s">
        <v>823</v>
      </c>
      <c r="B176" s="5" t="s">
        <v>823</v>
      </c>
      <c r="C176" s="5" t="s">
        <v>823</v>
      </c>
      <c r="D176" s="23">
        <v>0</v>
      </c>
      <c r="E176" s="28">
        <v>0</v>
      </c>
      <c r="F176" s="23">
        <f t="shared" si="30"/>
        <v>0</v>
      </c>
      <c r="G176" s="28">
        <v>0</v>
      </c>
      <c r="H176" s="23">
        <f t="shared" si="31"/>
        <v>0</v>
      </c>
      <c r="I176" s="28">
        <v>0</v>
      </c>
      <c r="J176" s="23">
        <f t="shared" si="32"/>
        <v>0</v>
      </c>
      <c r="K176" s="28">
        <f t="shared" si="33"/>
        <v>0</v>
      </c>
      <c r="L176" s="23">
        <f t="shared" si="34"/>
        <v>0</v>
      </c>
      <c r="M176" s="5" t="s">
        <v>823</v>
      </c>
      <c r="N176" s="5" t="s">
        <v>823</v>
      </c>
      <c r="O176" s="5" t="s">
        <v>823</v>
      </c>
      <c r="P176" s="5" t="s">
        <v>823</v>
      </c>
      <c r="AU176" s="14"/>
      <c r="AV176" s="31">
        <v>0</v>
      </c>
      <c r="AW176" s="3" t="s">
        <v>823</v>
      </c>
    </row>
    <row r="177" spans="1:49" ht="28.5" customHeight="1" x14ac:dyDescent="0.3">
      <c r="A177" s="5" t="s">
        <v>823</v>
      </c>
      <c r="B177" s="5" t="s">
        <v>823</v>
      </c>
      <c r="C177" s="5" t="s">
        <v>823</v>
      </c>
      <c r="D177" s="23">
        <v>0</v>
      </c>
      <c r="E177" s="28">
        <v>0</v>
      </c>
      <c r="F177" s="23">
        <f t="shared" si="30"/>
        <v>0</v>
      </c>
      <c r="G177" s="28">
        <v>0</v>
      </c>
      <c r="H177" s="23">
        <f t="shared" si="31"/>
        <v>0</v>
      </c>
      <c r="I177" s="28">
        <v>0</v>
      </c>
      <c r="J177" s="23">
        <f t="shared" si="32"/>
        <v>0</v>
      </c>
      <c r="K177" s="28">
        <f t="shared" si="33"/>
        <v>0</v>
      </c>
      <c r="L177" s="23">
        <f t="shared" si="34"/>
        <v>0</v>
      </c>
      <c r="M177" s="5" t="s">
        <v>823</v>
      </c>
      <c r="N177" s="5" t="s">
        <v>823</v>
      </c>
      <c r="O177" s="5" t="s">
        <v>823</v>
      </c>
      <c r="P177" s="5" t="s">
        <v>823</v>
      </c>
      <c r="AU177" s="14"/>
      <c r="AV177" s="31">
        <v>0</v>
      </c>
      <c r="AW177" s="3" t="s">
        <v>823</v>
      </c>
    </row>
    <row r="178" spans="1:49" ht="28.5" customHeight="1" x14ac:dyDescent="0.3">
      <c r="A178" s="5" t="s">
        <v>823</v>
      </c>
      <c r="B178" s="5" t="s">
        <v>823</v>
      </c>
      <c r="C178" s="5" t="s">
        <v>823</v>
      </c>
      <c r="D178" s="23">
        <v>0</v>
      </c>
      <c r="E178" s="28">
        <v>0</v>
      </c>
      <c r="F178" s="23">
        <f t="shared" si="30"/>
        <v>0</v>
      </c>
      <c r="G178" s="28">
        <v>0</v>
      </c>
      <c r="H178" s="23">
        <f t="shared" si="31"/>
        <v>0</v>
      </c>
      <c r="I178" s="28">
        <v>0</v>
      </c>
      <c r="J178" s="23">
        <f t="shared" si="32"/>
        <v>0</v>
      </c>
      <c r="K178" s="28">
        <f t="shared" si="33"/>
        <v>0</v>
      </c>
      <c r="L178" s="23">
        <f t="shared" si="34"/>
        <v>0</v>
      </c>
      <c r="M178" s="5" t="s">
        <v>823</v>
      </c>
      <c r="N178" s="5" t="s">
        <v>823</v>
      </c>
      <c r="O178" s="5" t="s">
        <v>823</v>
      </c>
      <c r="P178" s="5" t="s">
        <v>823</v>
      </c>
      <c r="AU178" s="14"/>
      <c r="AV178" s="31">
        <v>0</v>
      </c>
      <c r="AW178" s="3" t="s">
        <v>823</v>
      </c>
    </row>
    <row r="179" spans="1:49" ht="28.5" customHeight="1" x14ac:dyDescent="0.3">
      <c r="A179" s="5" t="s">
        <v>141</v>
      </c>
      <c r="B179" s="5" t="s">
        <v>823</v>
      </c>
      <c r="C179" s="5" t="s">
        <v>823</v>
      </c>
      <c r="D179" s="5" t="s">
        <v>823</v>
      </c>
      <c r="E179" s="18">
        <v>0</v>
      </c>
      <c r="F179" s="23">
        <f>TRUNC(SUMIF(Q156:Q178, Q155,F156:F178),0)</f>
        <v>0</v>
      </c>
      <c r="G179" s="23">
        <v>0</v>
      </c>
      <c r="H179" s="23">
        <f>TRUNC(SUMIF(Q156:Q178, Q155,H156:H178),0)</f>
        <v>0</v>
      </c>
      <c r="I179" s="23">
        <v>0</v>
      </c>
      <c r="J179" s="23">
        <f>TRUNC(SUMIF(Q156:Q178, Q155,J156:J178),0)</f>
        <v>100589</v>
      </c>
      <c r="K179" s="15" t="s">
        <v>823</v>
      </c>
      <c r="L179" s="23">
        <f>F179+H179+J179</f>
        <v>100589</v>
      </c>
      <c r="M179" s="5"/>
      <c r="AW179" s="5" t="s">
        <v>823</v>
      </c>
    </row>
    <row r="180" spans="1:49" ht="28.5" customHeight="1" x14ac:dyDescent="0.3">
      <c r="A180" s="19" t="s">
        <v>31</v>
      </c>
      <c r="B180" s="5"/>
      <c r="C180" s="5"/>
      <c r="D180" s="5" t="s">
        <v>823</v>
      </c>
      <c r="E180" s="5" t="s">
        <v>823</v>
      </c>
      <c r="F180" s="5" t="s">
        <v>823</v>
      </c>
      <c r="G180" s="5" t="s">
        <v>823</v>
      </c>
      <c r="H180" s="5" t="s">
        <v>823</v>
      </c>
      <c r="I180" s="5" t="s">
        <v>823</v>
      </c>
      <c r="J180" s="5" t="s">
        <v>823</v>
      </c>
      <c r="K180" s="5" t="s">
        <v>823</v>
      </c>
      <c r="L180" s="5" t="s">
        <v>823</v>
      </c>
      <c r="M180" s="5" t="s">
        <v>823</v>
      </c>
      <c r="N180" s="2" t="s">
        <v>823</v>
      </c>
      <c r="Q180" s="14" t="s">
        <v>1211</v>
      </c>
      <c r="R180" s="31">
        <v>2326416</v>
      </c>
      <c r="S180" s="31">
        <v>0</v>
      </c>
      <c r="AH180" s="14"/>
      <c r="AW180" s="5" t="s">
        <v>823</v>
      </c>
    </row>
    <row r="181" spans="1:49" ht="28.5" customHeight="1" x14ac:dyDescent="0.3">
      <c r="A181" s="5" t="s">
        <v>1072</v>
      </c>
      <c r="B181" s="29" t="s">
        <v>1184</v>
      </c>
      <c r="C181" s="5" t="s">
        <v>1312</v>
      </c>
      <c r="D181" s="10">
        <v>0.86</v>
      </c>
      <c r="E181" s="28">
        <f>TRUNC(TRUNC(단가대비표!U5,0)*AV181/100,0)</f>
        <v>295000</v>
      </c>
      <c r="F181" s="23">
        <f t="shared" ref="F181:F203" si="35">TRUNC(D181*E181,0)</f>
        <v>253700</v>
      </c>
      <c r="G181" s="28">
        <f>TRUNC(TRUNC(단가대비표!V5,0)*AV181/100,0)</f>
        <v>0</v>
      </c>
      <c r="H181" s="23">
        <f t="shared" ref="H181:H203" si="36">TRUNC(D181*G181,0)</f>
        <v>0</v>
      </c>
      <c r="I181" s="28">
        <f>TRUNC(TRUNC(단가대비표!AE5,0)*AV181/100,0)</f>
        <v>0</v>
      </c>
      <c r="J181" s="23">
        <f t="shared" ref="J181:J203" si="37">TRUNC(D181*I181,0)</f>
        <v>0</v>
      </c>
      <c r="K181" s="28">
        <f t="shared" ref="K181:K203" si="38">TRUNC(E181+G181+I181,0)</f>
        <v>295000</v>
      </c>
      <c r="L181" s="23">
        <f t="shared" ref="L181:L203" si="39">TRUNC(F181+H181+J181,0)</f>
        <v>253700</v>
      </c>
      <c r="M181" s="29" t="s">
        <v>823</v>
      </c>
      <c r="N181" s="13" t="str">
        <f>HYPERLINK("#단가대비표!B5", "1119160220292341")</f>
        <v>1119160220292341</v>
      </c>
      <c r="O181" s="14" t="s">
        <v>823</v>
      </c>
      <c r="P181" s="14" t="s">
        <v>823</v>
      </c>
      <c r="Q181" s="14" t="s">
        <v>1211</v>
      </c>
      <c r="R181" s="31">
        <v>2326416</v>
      </c>
      <c r="S181" s="31">
        <v>10</v>
      </c>
      <c r="T181" s="14" t="s">
        <v>510</v>
      </c>
      <c r="U181" s="14" t="s">
        <v>510</v>
      </c>
      <c r="V181" s="14" t="s">
        <v>904</v>
      </c>
      <c r="W181" s="14" t="s">
        <v>823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0</v>
      </c>
      <c r="AI181" s="31">
        <v>121</v>
      </c>
      <c r="AJ181" s="31">
        <v>0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0</v>
      </c>
      <c r="AQ181" s="31">
        <v>0</v>
      </c>
      <c r="AR181" s="31">
        <v>0</v>
      </c>
      <c r="AS181" s="31">
        <v>0</v>
      </c>
      <c r="AT181" s="31">
        <v>0</v>
      </c>
      <c r="AU181" s="14"/>
      <c r="AV181" s="31">
        <v>100</v>
      </c>
      <c r="AW181" s="3" t="s">
        <v>1252</v>
      </c>
    </row>
    <row r="182" spans="1:49" ht="28.5" customHeight="1" x14ac:dyDescent="0.3">
      <c r="A182" s="5" t="s">
        <v>365</v>
      </c>
      <c r="B182" s="29" t="s">
        <v>830</v>
      </c>
      <c r="C182" s="5" t="s">
        <v>62</v>
      </c>
      <c r="D182" s="10">
        <v>127.35</v>
      </c>
      <c r="E182" s="28">
        <f>TRUNC(TRUNC(단가대비표!U6,0)*AV182/100,0)</f>
        <v>2050</v>
      </c>
      <c r="F182" s="23">
        <f t="shared" si="35"/>
        <v>261067</v>
      </c>
      <c r="G182" s="28">
        <f>TRUNC(TRUNC(단가대비표!V6,0)*AV182/100,0)</f>
        <v>0</v>
      </c>
      <c r="H182" s="23">
        <f t="shared" si="36"/>
        <v>0</v>
      </c>
      <c r="I182" s="28">
        <f>TRUNC(TRUNC(단가대비표!AE6,0)*AV182/100,0)</f>
        <v>0</v>
      </c>
      <c r="J182" s="23">
        <f t="shared" si="37"/>
        <v>0</v>
      </c>
      <c r="K182" s="28">
        <f t="shared" si="38"/>
        <v>2050</v>
      </c>
      <c r="L182" s="23">
        <f t="shared" si="39"/>
        <v>261067</v>
      </c>
      <c r="M182" s="29" t="s">
        <v>823</v>
      </c>
      <c r="N182" s="13" t="str">
        <f>HYPERLINK("#단가대비표!B6", "1119160221867609")</f>
        <v>1119160221867609</v>
      </c>
      <c r="O182" s="14" t="s">
        <v>823</v>
      </c>
      <c r="P182" s="14" t="s">
        <v>823</v>
      </c>
      <c r="Q182" s="14" t="s">
        <v>1211</v>
      </c>
      <c r="R182" s="31">
        <v>2326416</v>
      </c>
      <c r="S182" s="31">
        <v>20</v>
      </c>
      <c r="T182" s="14" t="s">
        <v>510</v>
      </c>
      <c r="U182" s="14" t="s">
        <v>510</v>
      </c>
      <c r="V182" s="14" t="s">
        <v>904</v>
      </c>
      <c r="W182" s="14" t="s">
        <v>823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v>0</v>
      </c>
      <c r="AF182" s="31">
        <v>0</v>
      </c>
      <c r="AG182" s="31">
        <v>0</v>
      </c>
      <c r="AH182" s="31">
        <v>0</v>
      </c>
      <c r="AI182" s="31">
        <v>121</v>
      </c>
      <c r="AJ182" s="31">
        <v>0</v>
      </c>
      <c r="AK182" s="31">
        <v>0</v>
      </c>
      <c r="AL182" s="31">
        <v>0</v>
      </c>
      <c r="AM182" s="31">
        <v>0</v>
      </c>
      <c r="AN182" s="31">
        <v>0</v>
      </c>
      <c r="AO182" s="31">
        <v>0</v>
      </c>
      <c r="AP182" s="31">
        <v>0</v>
      </c>
      <c r="AQ182" s="31">
        <v>0</v>
      </c>
      <c r="AR182" s="31">
        <v>0</v>
      </c>
      <c r="AS182" s="31">
        <v>0</v>
      </c>
      <c r="AT182" s="31">
        <v>0</v>
      </c>
      <c r="AU182" s="14"/>
      <c r="AV182" s="31">
        <v>100</v>
      </c>
      <c r="AW182" s="3" t="s">
        <v>546</v>
      </c>
    </row>
    <row r="183" spans="1:49" ht="28.5" customHeight="1" x14ac:dyDescent="0.3">
      <c r="A183" s="5" t="s">
        <v>823</v>
      </c>
      <c r="B183" s="5" t="s">
        <v>823</v>
      </c>
      <c r="C183" s="5" t="s">
        <v>823</v>
      </c>
      <c r="D183" s="23">
        <v>0</v>
      </c>
      <c r="E183" s="28">
        <v>0</v>
      </c>
      <c r="F183" s="23">
        <f t="shared" si="35"/>
        <v>0</v>
      </c>
      <c r="G183" s="28">
        <v>0</v>
      </c>
      <c r="H183" s="23">
        <f t="shared" si="36"/>
        <v>0</v>
      </c>
      <c r="I183" s="28">
        <v>0</v>
      </c>
      <c r="J183" s="23">
        <f t="shared" si="37"/>
        <v>0</v>
      </c>
      <c r="K183" s="28">
        <f t="shared" si="38"/>
        <v>0</v>
      </c>
      <c r="L183" s="23">
        <f t="shared" si="39"/>
        <v>0</v>
      </c>
      <c r="M183" s="5" t="s">
        <v>823</v>
      </c>
      <c r="N183" s="5" t="s">
        <v>823</v>
      </c>
      <c r="O183" s="5" t="s">
        <v>823</v>
      </c>
      <c r="P183" s="5" t="s">
        <v>823</v>
      </c>
      <c r="AU183" s="14"/>
      <c r="AV183" s="31">
        <v>0</v>
      </c>
      <c r="AW183" s="3" t="s">
        <v>823</v>
      </c>
    </row>
    <row r="184" spans="1:49" ht="28.5" customHeight="1" x14ac:dyDescent="0.3">
      <c r="A184" s="5" t="s">
        <v>823</v>
      </c>
      <c r="B184" s="5" t="s">
        <v>823</v>
      </c>
      <c r="C184" s="5" t="s">
        <v>823</v>
      </c>
      <c r="D184" s="23">
        <v>0</v>
      </c>
      <c r="E184" s="28">
        <v>0</v>
      </c>
      <c r="F184" s="23">
        <f t="shared" si="35"/>
        <v>0</v>
      </c>
      <c r="G184" s="28">
        <v>0</v>
      </c>
      <c r="H184" s="23">
        <f t="shared" si="36"/>
        <v>0</v>
      </c>
      <c r="I184" s="28">
        <v>0</v>
      </c>
      <c r="J184" s="23">
        <f t="shared" si="37"/>
        <v>0</v>
      </c>
      <c r="K184" s="28">
        <f t="shared" si="38"/>
        <v>0</v>
      </c>
      <c r="L184" s="23">
        <f t="shared" si="39"/>
        <v>0</v>
      </c>
      <c r="M184" s="5" t="s">
        <v>823</v>
      </c>
      <c r="N184" s="5" t="s">
        <v>823</v>
      </c>
      <c r="O184" s="5" t="s">
        <v>823</v>
      </c>
      <c r="P184" s="5" t="s">
        <v>823</v>
      </c>
      <c r="AU184" s="14"/>
      <c r="AV184" s="31">
        <v>0</v>
      </c>
      <c r="AW184" s="3" t="s">
        <v>823</v>
      </c>
    </row>
    <row r="185" spans="1:49" ht="28.5" customHeight="1" x14ac:dyDescent="0.3">
      <c r="A185" s="5" t="s">
        <v>823</v>
      </c>
      <c r="B185" s="5" t="s">
        <v>823</v>
      </c>
      <c r="C185" s="5" t="s">
        <v>823</v>
      </c>
      <c r="D185" s="23">
        <v>0</v>
      </c>
      <c r="E185" s="28">
        <v>0</v>
      </c>
      <c r="F185" s="23">
        <f t="shared" si="35"/>
        <v>0</v>
      </c>
      <c r="G185" s="28">
        <v>0</v>
      </c>
      <c r="H185" s="23">
        <f t="shared" si="36"/>
        <v>0</v>
      </c>
      <c r="I185" s="28">
        <v>0</v>
      </c>
      <c r="J185" s="23">
        <f t="shared" si="37"/>
        <v>0</v>
      </c>
      <c r="K185" s="28">
        <f t="shared" si="38"/>
        <v>0</v>
      </c>
      <c r="L185" s="23">
        <f t="shared" si="39"/>
        <v>0</v>
      </c>
      <c r="M185" s="5" t="s">
        <v>823</v>
      </c>
      <c r="N185" s="5" t="s">
        <v>823</v>
      </c>
      <c r="O185" s="5" t="s">
        <v>823</v>
      </c>
      <c r="P185" s="5" t="s">
        <v>823</v>
      </c>
      <c r="AU185" s="14"/>
      <c r="AV185" s="31">
        <v>0</v>
      </c>
      <c r="AW185" s="3" t="s">
        <v>823</v>
      </c>
    </row>
    <row r="186" spans="1:49" ht="28.5" customHeight="1" x14ac:dyDescent="0.3">
      <c r="A186" s="5" t="s">
        <v>823</v>
      </c>
      <c r="B186" s="5" t="s">
        <v>823</v>
      </c>
      <c r="C186" s="5" t="s">
        <v>823</v>
      </c>
      <c r="D186" s="23">
        <v>0</v>
      </c>
      <c r="E186" s="28">
        <v>0</v>
      </c>
      <c r="F186" s="23">
        <f t="shared" si="35"/>
        <v>0</v>
      </c>
      <c r="G186" s="28">
        <v>0</v>
      </c>
      <c r="H186" s="23">
        <f t="shared" si="36"/>
        <v>0</v>
      </c>
      <c r="I186" s="28">
        <v>0</v>
      </c>
      <c r="J186" s="23">
        <f t="shared" si="37"/>
        <v>0</v>
      </c>
      <c r="K186" s="28">
        <f t="shared" si="38"/>
        <v>0</v>
      </c>
      <c r="L186" s="23">
        <f t="shared" si="39"/>
        <v>0</v>
      </c>
      <c r="M186" s="5" t="s">
        <v>823</v>
      </c>
      <c r="N186" s="5" t="s">
        <v>823</v>
      </c>
      <c r="O186" s="5" t="s">
        <v>823</v>
      </c>
      <c r="P186" s="5" t="s">
        <v>823</v>
      </c>
      <c r="AU186" s="14"/>
      <c r="AV186" s="31">
        <v>0</v>
      </c>
      <c r="AW186" s="3" t="s">
        <v>823</v>
      </c>
    </row>
    <row r="187" spans="1:49" ht="28.5" customHeight="1" x14ac:dyDescent="0.3">
      <c r="A187" s="5" t="s">
        <v>823</v>
      </c>
      <c r="B187" s="5" t="s">
        <v>823</v>
      </c>
      <c r="C187" s="5" t="s">
        <v>823</v>
      </c>
      <c r="D187" s="23">
        <v>0</v>
      </c>
      <c r="E187" s="28">
        <v>0</v>
      </c>
      <c r="F187" s="23">
        <f t="shared" si="35"/>
        <v>0</v>
      </c>
      <c r="G187" s="28">
        <v>0</v>
      </c>
      <c r="H187" s="23">
        <f t="shared" si="36"/>
        <v>0</v>
      </c>
      <c r="I187" s="28">
        <v>0</v>
      </c>
      <c r="J187" s="23">
        <f t="shared" si="37"/>
        <v>0</v>
      </c>
      <c r="K187" s="28">
        <f t="shared" si="38"/>
        <v>0</v>
      </c>
      <c r="L187" s="23">
        <f t="shared" si="39"/>
        <v>0</v>
      </c>
      <c r="M187" s="5" t="s">
        <v>823</v>
      </c>
      <c r="N187" s="5" t="s">
        <v>823</v>
      </c>
      <c r="O187" s="5" t="s">
        <v>823</v>
      </c>
      <c r="P187" s="5" t="s">
        <v>823</v>
      </c>
      <c r="AU187" s="14"/>
      <c r="AV187" s="31">
        <v>0</v>
      </c>
      <c r="AW187" s="3" t="s">
        <v>823</v>
      </c>
    </row>
    <row r="188" spans="1:49" ht="28.5" customHeight="1" x14ac:dyDescent="0.3">
      <c r="A188" s="5" t="s">
        <v>823</v>
      </c>
      <c r="B188" s="5" t="s">
        <v>823</v>
      </c>
      <c r="C188" s="5" t="s">
        <v>823</v>
      </c>
      <c r="D188" s="23">
        <v>0</v>
      </c>
      <c r="E188" s="28">
        <v>0</v>
      </c>
      <c r="F188" s="23">
        <f t="shared" si="35"/>
        <v>0</v>
      </c>
      <c r="G188" s="28">
        <v>0</v>
      </c>
      <c r="H188" s="23">
        <f t="shared" si="36"/>
        <v>0</v>
      </c>
      <c r="I188" s="28">
        <v>0</v>
      </c>
      <c r="J188" s="23">
        <f t="shared" si="37"/>
        <v>0</v>
      </c>
      <c r="K188" s="28">
        <f t="shared" si="38"/>
        <v>0</v>
      </c>
      <c r="L188" s="23">
        <f t="shared" si="39"/>
        <v>0</v>
      </c>
      <c r="M188" s="5" t="s">
        <v>823</v>
      </c>
      <c r="N188" s="5" t="s">
        <v>823</v>
      </c>
      <c r="O188" s="5" t="s">
        <v>823</v>
      </c>
      <c r="P188" s="5" t="s">
        <v>823</v>
      </c>
      <c r="AU188" s="14"/>
      <c r="AV188" s="31">
        <v>0</v>
      </c>
      <c r="AW188" s="3" t="s">
        <v>823</v>
      </c>
    </row>
    <row r="189" spans="1:49" ht="28.5" customHeight="1" x14ac:dyDescent="0.3">
      <c r="A189" s="5" t="s">
        <v>823</v>
      </c>
      <c r="B189" s="5" t="s">
        <v>823</v>
      </c>
      <c r="C189" s="5" t="s">
        <v>823</v>
      </c>
      <c r="D189" s="23">
        <v>0</v>
      </c>
      <c r="E189" s="28">
        <v>0</v>
      </c>
      <c r="F189" s="23">
        <f t="shared" si="35"/>
        <v>0</v>
      </c>
      <c r="G189" s="28">
        <v>0</v>
      </c>
      <c r="H189" s="23">
        <f t="shared" si="36"/>
        <v>0</v>
      </c>
      <c r="I189" s="28">
        <v>0</v>
      </c>
      <c r="J189" s="23">
        <f t="shared" si="37"/>
        <v>0</v>
      </c>
      <c r="K189" s="28">
        <f t="shared" si="38"/>
        <v>0</v>
      </c>
      <c r="L189" s="23">
        <f t="shared" si="39"/>
        <v>0</v>
      </c>
      <c r="M189" s="5" t="s">
        <v>823</v>
      </c>
      <c r="N189" s="5" t="s">
        <v>823</v>
      </c>
      <c r="O189" s="5" t="s">
        <v>823</v>
      </c>
      <c r="P189" s="5" t="s">
        <v>823</v>
      </c>
      <c r="AU189" s="14"/>
      <c r="AV189" s="31">
        <v>0</v>
      </c>
      <c r="AW189" s="3" t="s">
        <v>823</v>
      </c>
    </row>
    <row r="190" spans="1:49" ht="28.5" customHeight="1" x14ac:dyDescent="0.3">
      <c r="A190" s="5" t="s">
        <v>823</v>
      </c>
      <c r="B190" s="5" t="s">
        <v>823</v>
      </c>
      <c r="C190" s="5" t="s">
        <v>823</v>
      </c>
      <c r="D190" s="23">
        <v>0</v>
      </c>
      <c r="E190" s="28">
        <v>0</v>
      </c>
      <c r="F190" s="23">
        <f t="shared" si="35"/>
        <v>0</v>
      </c>
      <c r="G190" s="28">
        <v>0</v>
      </c>
      <c r="H190" s="23">
        <f t="shared" si="36"/>
        <v>0</v>
      </c>
      <c r="I190" s="28">
        <v>0</v>
      </c>
      <c r="J190" s="23">
        <f t="shared" si="37"/>
        <v>0</v>
      </c>
      <c r="K190" s="28">
        <f t="shared" si="38"/>
        <v>0</v>
      </c>
      <c r="L190" s="23">
        <f t="shared" si="39"/>
        <v>0</v>
      </c>
      <c r="M190" s="5" t="s">
        <v>823</v>
      </c>
      <c r="N190" s="5" t="s">
        <v>823</v>
      </c>
      <c r="O190" s="5" t="s">
        <v>823</v>
      </c>
      <c r="P190" s="5" t="s">
        <v>823</v>
      </c>
      <c r="AU190" s="14"/>
      <c r="AV190" s="31">
        <v>0</v>
      </c>
      <c r="AW190" s="3" t="s">
        <v>823</v>
      </c>
    </row>
    <row r="191" spans="1:49" ht="28.5" customHeight="1" x14ac:dyDescent="0.3">
      <c r="A191" s="5" t="s">
        <v>823</v>
      </c>
      <c r="B191" s="5" t="s">
        <v>823</v>
      </c>
      <c r="C191" s="5" t="s">
        <v>823</v>
      </c>
      <c r="D191" s="23">
        <v>0</v>
      </c>
      <c r="E191" s="28">
        <v>0</v>
      </c>
      <c r="F191" s="23">
        <f t="shared" si="35"/>
        <v>0</v>
      </c>
      <c r="G191" s="28">
        <v>0</v>
      </c>
      <c r="H191" s="23">
        <f t="shared" si="36"/>
        <v>0</v>
      </c>
      <c r="I191" s="28">
        <v>0</v>
      </c>
      <c r="J191" s="23">
        <f t="shared" si="37"/>
        <v>0</v>
      </c>
      <c r="K191" s="28">
        <f t="shared" si="38"/>
        <v>0</v>
      </c>
      <c r="L191" s="23">
        <f t="shared" si="39"/>
        <v>0</v>
      </c>
      <c r="M191" s="5" t="s">
        <v>823</v>
      </c>
      <c r="N191" s="5" t="s">
        <v>823</v>
      </c>
      <c r="O191" s="5" t="s">
        <v>823</v>
      </c>
      <c r="P191" s="5" t="s">
        <v>823</v>
      </c>
      <c r="AU191" s="14"/>
      <c r="AV191" s="31">
        <v>0</v>
      </c>
      <c r="AW191" s="3" t="s">
        <v>823</v>
      </c>
    </row>
    <row r="192" spans="1:49" ht="28.5" customHeight="1" x14ac:dyDescent="0.3">
      <c r="A192" s="5" t="s">
        <v>823</v>
      </c>
      <c r="B192" s="5" t="s">
        <v>823</v>
      </c>
      <c r="C192" s="5" t="s">
        <v>823</v>
      </c>
      <c r="D192" s="23">
        <v>0</v>
      </c>
      <c r="E192" s="28">
        <v>0</v>
      </c>
      <c r="F192" s="23">
        <f t="shared" si="35"/>
        <v>0</v>
      </c>
      <c r="G192" s="28">
        <v>0</v>
      </c>
      <c r="H192" s="23">
        <f t="shared" si="36"/>
        <v>0</v>
      </c>
      <c r="I192" s="28">
        <v>0</v>
      </c>
      <c r="J192" s="23">
        <f t="shared" si="37"/>
        <v>0</v>
      </c>
      <c r="K192" s="28">
        <f t="shared" si="38"/>
        <v>0</v>
      </c>
      <c r="L192" s="23">
        <f t="shared" si="39"/>
        <v>0</v>
      </c>
      <c r="M192" s="5" t="s">
        <v>823</v>
      </c>
      <c r="N192" s="5" t="s">
        <v>823</v>
      </c>
      <c r="O192" s="5" t="s">
        <v>823</v>
      </c>
      <c r="P192" s="5" t="s">
        <v>823</v>
      </c>
      <c r="AU192" s="14"/>
      <c r="AV192" s="31">
        <v>0</v>
      </c>
      <c r="AW192" s="3" t="s">
        <v>823</v>
      </c>
    </row>
    <row r="193" spans="1:49" ht="28.5" customHeight="1" x14ac:dyDescent="0.3">
      <c r="A193" s="5" t="s">
        <v>823</v>
      </c>
      <c r="B193" s="5" t="s">
        <v>823</v>
      </c>
      <c r="C193" s="5" t="s">
        <v>823</v>
      </c>
      <c r="D193" s="23">
        <v>0</v>
      </c>
      <c r="E193" s="28">
        <v>0</v>
      </c>
      <c r="F193" s="23">
        <f t="shared" si="35"/>
        <v>0</v>
      </c>
      <c r="G193" s="28">
        <v>0</v>
      </c>
      <c r="H193" s="23">
        <f t="shared" si="36"/>
        <v>0</v>
      </c>
      <c r="I193" s="28">
        <v>0</v>
      </c>
      <c r="J193" s="23">
        <f t="shared" si="37"/>
        <v>0</v>
      </c>
      <c r="K193" s="28">
        <f t="shared" si="38"/>
        <v>0</v>
      </c>
      <c r="L193" s="23">
        <f t="shared" si="39"/>
        <v>0</v>
      </c>
      <c r="M193" s="5" t="s">
        <v>823</v>
      </c>
      <c r="N193" s="5" t="s">
        <v>823</v>
      </c>
      <c r="O193" s="5" t="s">
        <v>823</v>
      </c>
      <c r="P193" s="5" t="s">
        <v>823</v>
      </c>
      <c r="AU193" s="14"/>
      <c r="AV193" s="31">
        <v>0</v>
      </c>
      <c r="AW193" s="3" t="s">
        <v>823</v>
      </c>
    </row>
    <row r="194" spans="1:49" ht="28.5" customHeight="1" x14ac:dyDescent="0.3">
      <c r="A194" s="5" t="s">
        <v>823</v>
      </c>
      <c r="B194" s="5" t="s">
        <v>823</v>
      </c>
      <c r="C194" s="5" t="s">
        <v>823</v>
      </c>
      <c r="D194" s="23">
        <v>0</v>
      </c>
      <c r="E194" s="28">
        <v>0</v>
      </c>
      <c r="F194" s="23">
        <f t="shared" si="35"/>
        <v>0</v>
      </c>
      <c r="G194" s="28">
        <v>0</v>
      </c>
      <c r="H194" s="23">
        <f t="shared" si="36"/>
        <v>0</v>
      </c>
      <c r="I194" s="28">
        <v>0</v>
      </c>
      <c r="J194" s="23">
        <f t="shared" si="37"/>
        <v>0</v>
      </c>
      <c r="K194" s="28">
        <f t="shared" si="38"/>
        <v>0</v>
      </c>
      <c r="L194" s="23">
        <f t="shared" si="39"/>
        <v>0</v>
      </c>
      <c r="M194" s="5" t="s">
        <v>823</v>
      </c>
      <c r="N194" s="5" t="s">
        <v>823</v>
      </c>
      <c r="O194" s="5" t="s">
        <v>823</v>
      </c>
      <c r="P194" s="5" t="s">
        <v>823</v>
      </c>
      <c r="AU194" s="14"/>
      <c r="AV194" s="31">
        <v>0</v>
      </c>
      <c r="AW194" s="3" t="s">
        <v>823</v>
      </c>
    </row>
    <row r="195" spans="1:49" ht="28.5" customHeight="1" x14ac:dyDescent="0.3">
      <c r="A195" s="5" t="s">
        <v>823</v>
      </c>
      <c r="B195" s="5" t="s">
        <v>823</v>
      </c>
      <c r="C195" s="5" t="s">
        <v>823</v>
      </c>
      <c r="D195" s="23">
        <v>0</v>
      </c>
      <c r="E195" s="28">
        <v>0</v>
      </c>
      <c r="F195" s="23">
        <f t="shared" si="35"/>
        <v>0</v>
      </c>
      <c r="G195" s="28">
        <v>0</v>
      </c>
      <c r="H195" s="23">
        <f t="shared" si="36"/>
        <v>0</v>
      </c>
      <c r="I195" s="28">
        <v>0</v>
      </c>
      <c r="J195" s="23">
        <f t="shared" si="37"/>
        <v>0</v>
      </c>
      <c r="K195" s="28">
        <f t="shared" si="38"/>
        <v>0</v>
      </c>
      <c r="L195" s="23">
        <f t="shared" si="39"/>
        <v>0</v>
      </c>
      <c r="M195" s="5" t="s">
        <v>823</v>
      </c>
      <c r="N195" s="5" t="s">
        <v>823</v>
      </c>
      <c r="O195" s="5" t="s">
        <v>823</v>
      </c>
      <c r="P195" s="5" t="s">
        <v>823</v>
      </c>
      <c r="AU195" s="14"/>
      <c r="AV195" s="31">
        <v>0</v>
      </c>
      <c r="AW195" s="3" t="s">
        <v>823</v>
      </c>
    </row>
    <row r="196" spans="1:49" ht="28.5" customHeight="1" x14ac:dyDescent="0.3">
      <c r="A196" s="5" t="s">
        <v>823</v>
      </c>
      <c r="B196" s="5" t="s">
        <v>823</v>
      </c>
      <c r="C196" s="5" t="s">
        <v>823</v>
      </c>
      <c r="D196" s="23">
        <v>0</v>
      </c>
      <c r="E196" s="28">
        <v>0</v>
      </c>
      <c r="F196" s="23">
        <f t="shared" si="35"/>
        <v>0</v>
      </c>
      <c r="G196" s="28">
        <v>0</v>
      </c>
      <c r="H196" s="23">
        <f t="shared" si="36"/>
        <v>0</v>
      </c>
      <c r="I196" s="28">
        <v>0</v>
      </c>
      <c r="J196" s="23">
        <f t="shared" si="37"/>
        <v>0</v>
      </c>
      <c r="K196" s="28">
        <f t="shared" si="38"/>
        <v>0</v>
      </c>
      <c r="L196" s="23">
        <f t="shared" si="39"/>
        <v>0</v>
      </c>
      <c r="M196" s="5" t="s">
        <v>823</v>
      </c>
      <c r="N196" s="5" t="s">
        <v>823</v>
      </c>
      <c r="O196" s="5" t="s">
        <v>823</v>
      </c>
      <c r="P196" s="5" t="s">
        <v>823</v>
      </c>
      <c r="AU196" s="14"/>
      <c r="AV196" s="31">
        <v>0</v>
      </c>
      <c r="AW196" s="3" t="s">
        <v>823</v>
      </c>
    </row>
    <row r="197" spans="1:49" ht="28.5" customHeight="1" x14ac:dyDescent="0.3">
      <c r="A197" s="5" t="s">
        <v>823</v>
      </c>
      <c r="B197" s="5" t="s">
        <v>823</v>
      </c>
      <c r="C197" s="5" t="s">
        <v>823</v>
      </c>
      <c r="D197" s="23">
        <v>0</v>
      </c>
      <c r="E197" s="28">
        <v>0</v>
      </c>
      <c r="F197" s="23">
        <f t="shared" si="35"/>
        <v>0</v>
      </c>
      <c r="G197" s="28">
        <v>0</v>
      </c>
      <c r="H197" s="23">
        <f t="shared" si="36"/>
        <v>0</v>
      </c>
      <c r="I197" s="28">
        <v>0</v>
      </c>
      <c r="J197" s="23">
        <f t="shared" si="37"/>
        <v>0</v>
      </c>
      <c r="K197" s="28">
        <f t="shared" si="38"/>
        <v>0</v>
      </c>
      <c r="L197" s="23">
        <f t="shared" si="39"/>
        <v>0</v>
      </c>
      <c r="M197" s="5" t="s">
        <v>823</v>
      </c>
      <c r="N197" s="5" t="s">
        <v>823</v>
      </c>
      <c r="O197" s="5" t="s">
        <v>823</v>
      </c>
      <c r="P197" s="5" t="s">
        <v>823</v>
      </c>
      <c r="AU197" s="14"/>
      <c r="AV197" s="31">
        <v>0</v>
      </c>
      <c r="AW197" s="3" t="s">
        <v>823</v>
      </c>
    </row>
    <row r="198" spans="1:49" ht="28.5" customHeight="1" x14ac:dyDescent="0.3">
      <c r="A198" s="5" t="s">
        <v>823</v>
      </c>
      <c r="B198" s="5" t="s">
        <v>823</v>
      </c>
      <c r="C198" s="5" t="s">
        <v>823</v>
      </c>
      <c r="D198" s="23">
        <v>0</v>
      </c>
      <c r="E198" s="28">
        <v>0</v>
      </c>
      <c r="F198" s="23">
        <f t="shared" si="35"/>
        <v>0</v>
      </c>
      <c r="G198" s="28">
        <v>0</v>
      </c>
      <c r="H198" s="23">
        <f t="shared" si="36"/>
        <v>0</v>
      </c>
      <c r="I198" s="28">
        <v>0</v>
      </c>
      <c r="J198" s="23">
        <f t="shared" si="37"/>
        <v>0</v>
      </c>
      <c r="K198" s="28">
        <f t="shared" si="38"/>
        <v>0</v>
      </c>
      <c r="L198" s="23">
        <f t="shared" si="39"/>
        <v>0</v>
      </c>
      <c r="M198" s="5" t="s">
        <v>823</v>
      </c>
      <c r="N198" s="5" t="s">
        <v>823</v>
      </c>
      <c r="O198" s="5" t="s">
        <v>823</v>
      </c>
      <c r="P198" s="5" t="s">
        <v>823</v>
      </c>
      <c r="AU198" s="14"/>
      <c r="AV198" s="31">
        <v>0</v>
      </c>
      <c r="AW198" s="3" t="s">
        <v>823</v>
      </c>
    </row>
    <row r="199" spans="1:49" ht="28.5" customHeight="1" x14ac:dyDescent="0.3">
      <c r="A199" s="5" t="s">
        <v>823</v>
      </c>
      <c r="B199" s="5" t="s">
        <v>823</v>
      </c>
      <c r="C199" s="5" t="s">
        <v>823</v>
      </c>
      <c r="D199" s="23">
        <v>0</v>
      </c>
      <c r="E199" s="28">
        <v>0</v>
      </c>
      <c r="F199" s="23">
        <f t="shared" si="35"/>
        <v>0</v>
      </c>
      <c r="G199" s="28">
        <v>0</v>
      </c>
      <c r="H199" s="23">
        <f t="shared" si="36"/>
        <v>0</v>
      </c>
      <c r="I199" s="28">
        <v>0</v>
      </c>
      <c r="J199" s="23">
        <f t="shared" si="37"/>
        <v>0</v>
      </c>
      <c r="K199" s="28">
        <f t="shared" si="38"/>
        <v>0</v>
      </c>
      <c r="L199" s="23">
        <f t="shared" si="39"/>
        <v>0</v>
      </c>
      <c r="M199" s="5" t="s">
        <v>823</v>
      </c>
      <c r="N199" s="5" t="s">
        <v>823</v>
      </c>
      <c r="O199" s="5" t="s">
        <v>823</v>
      </c>
      <c r="P199" s="5" t="s">
        <v>823</v>
      </c>
      <c r="AU199" s="14"/>
      <c r="AV199" s="31">
        <v>0</v>
      </c>
      <c r="AW199" s="3" t="s">
        <v>823</v>
      </c>
    </row>
    <row r="200" spans="1:49" ht="28.5" customHeight="1" x14ac:dyDescent="0.3">
      <c r="A200" s="5" t="s">
        <v>823</v>
      </c>
      <c r="B200" s="5" t="s">
        <v>823</v>
      </c>
      <c r="C200" s="5" t="s">
        <v>823</v>
      </c>
      <c r="D200" s="23">
        <v>0</v>
      </c>
      <c r="E200" s="28">
        <v>0</v>
      </c>
      <c r="F200" s="23">
        <f t="shared" si="35"/>
        <v>0</v>
      </c>
      <c r="G200" s="28">
        <v>0</v>
      </c>
      <c r="H200" s="23">
        <f t="shared" si="36"/>
        <v>0</v>
      </c>
      <c r="I200" s="28">
        <v>0</v>
      </c>
      <c r="J200" s="23">
        <f t="shared" si="37"/>
        <v>0</v>
      </c>
      <c r="K200" s="28">
        <f t="shared" si="38"/>
        <v>0</v>
      </c>
      <c r="L200" s="23">
        <f t="shared" si="39"/>
        <v>0</v>
      </c>
      <c r="M200" s="5" t="s">
        <v>823</v>
      </c>
      <c r="N200" s="5" t="s">
        <v>823</v>
      </c>
      <c r="O200" s="5" t="s">
        <v>823</v>
      </c>
      <c r="P200" s="5" t="s">
        <v>823</v>
      </c>
      <c r="AU200" s="14"/>
      <c r="AV200" s="31">
        <v>0</v>
      </c>
      <c r="AW200" s="3" t="s">
        <v>823</v>
      </c>
    </row>
    <row r="201" spans="1:49" ht="28.5" customHeight="1" x14ac:dyDescent="0.3">
      <c r="A201" s="5" t="s">
        <v>823</v>
      </c>
      <c r="B201" s="5" t="s">
        <v>823</v>
      </c>
      <c r="C201" s="5" t="s">
        <v>823</v>
      </c>
      <c r="D201" s="23">
        <v>0</v>
      </c>
      <c r="E201" s="28">
        <v>0</v>
      </c>
      <c r="F201" s="23">
        <f t="shared" si="35"/>
        <v>0</v>
      </c>
      <c r="G201" s="28">
        <v>0</v>
      </c>
      <c r="H201" s="23">
        <f t="shared" si="36"/>
        <v>0</v>
      </c>
      <c r="I201" s="28">
        <v>0</v>
      </c>
      <c r="J201" s="23">
        <f t="shared" si="37"/>
        <v>0</v>
      </c>
      <c r="K201" s="28">
        <f t="shared" si="38"/>
        <v>0</v>
      </c>
      <c r="L201" s="23">
        <f t="shared" si="39"/>
        <v>0</v>
      </c>
      <c r="M201" s="5" t="s">
        <v>823</v>
      </c>
      <c r="N201" s="5" t="s">
        <v>823</v>
      </c>
      <c r="O201" s="5" t="s">
        <v>823</v>
      </c>
      <c r="P201" s="5" t="s">
        <v>823</v>
      </c>
      <c r="AU201" s="14"/>
      <c r="AV201" s="31">
        <v>0</v>
      </c>
      <c r="AW201" s="3" t="s">
        <v>823</v>
      </c>
    </row>
    <row r="202" spans="1:49" ht="28.5" customHeight="1" x14ac:dyDescent="0.3">
      <c r="A202" s="5" t="s">
        <v>823</v>
      </c>
      <c r="B202" s="5" t="s">
        <v>823</v>
      </c>
      <c r="C202" s="5" t="s">
        <v>823</v>
      </c>
      <c r="D202" s="23">
        <v>0</v>
      </c>
      <c r="E202" s="28">
        <v>0</v>
      </c>
      <c r="F202" s="23">
        <f t="shared" si="35"/>
        <v>0</v>
      </c>
      <c r="G202" s="28">
        <v>0</v>
      </c>
      <c r="H202" s="23">
        <f t="shared" si="36"/>
        <v>0</v>
      </c>
      <c r="I202" s="28">
        <v>0</v>
      </c>
      <c r="J202" s="23">
        <f t="shared" si="37"/>
        <v>0</v>
      </c>
      <c r="K202" s="28">
        <f t="shared" si="38"/>
        <v>0</v>
      </c>
      <c r="L202" s="23">
        <f t="shared" si="39"/>
        <v>0</v>
      </c>
      <c r="M202" s="5" t="s">
        <v>823</v>
      </c>
      <c r="N202" s="5" t="s">
        <v>823</v>
      </c>
      <c r="O202" s="5" t="s">
        <v>823</v>
      </c>
      <c r="P202" s="5" t="s">
        <v>823</v>
      </c>
      <c r="AU202" s="14"/>
      <c r="AV202" s="31">
        <v>0</v>
      </c>
      <c r="AW202" s="3" t="s">
        <v>823</v>
      </c>
    </row>
    <row r="203" spans="1:49" ht="28.5" customHeight="1" x14ac:dyDescent="0.3">
      <c r="A203" s="5" t="s">
        <v>823</v>
      </c>
      <c r="B203" s="5" t="s">
        <v>823</v>
      </c>
      <c r="C203" s="5" t="s">
        <v>823</v>
      </c>
      <c r="D203" s="23">
        <v>0</v>
      </c>
      <c r="E203" s="28">
        <v>0</v>
      </c>
      <c r="F203" s="23">
        <f t="shared" si="35"/>
        <v>0</v>
      </c>
      <c r="G203" s="28">
        <v>0</v>
      </c>
      <c r="H203" s="23">
        <f t="shared" si="36"/>
        <v>0</v>
      </c>
      <c r="I203" s="28">
        <v>0</v>
      </c>
      <c r="J203" s="23">
        <f t="shared" si="37"/>
        <v>0</v>
      </c>
      <c r="K203" s="28">
        <f t="shared" si="38"/>
        <v>0</v>
      </c>
      <c r="L203" s="23">
        <f t="shared" si="39"/>
        <v>0</v>
      </c>
      <c r="M203" s="5" t="s">
        <v>823</v>
      </c>
      <c r="N203" s="5" t="s">
        <v>823</v>
      </c>
      <c r="O203" s="5" t="s">
        <v>823</v>
      </c>
      <c r="P203" s="5" t="s">
        <v>823</v>
      </c>
      <c r="AU203" s="14"/>
      <c r="AV203" s="31">
        <v>0</v>
      </c>
      <c r="AW203" s="3" t="s">
        <v>823</v>
      </c>
    </row>
    <row r="204" spans="1:49" ht="28.5" customHeight="1" x14ac:dyDescent="0.3">
      <c r="A204" s="5" t="s">
        <v>141</v>
      </c>
      <c r="B204" s="5" t="s">
        <v>823</v>
      </c>
      <c r="C204" s="5" t="s">
        <v>823</v>
      </c>
      <c r="D204" s="5" t="s">
        <v>823</v>
      </c>
      <c r="E204" s="18">
        <v>0</v>
      </c>
      <c r="F204" s="23">
        <f>TRUNC(SUMIF(Q181:Q203, Q180,F181:F203),0)</f>
        <v>514767</v>
      </c>
      <c r="G204" s="23">
        <v>0</v>
      </c>
      <c r="H204" s="23">
        <f>TRUNC(SUMIF(Q181:Q203, Q180,H181:H203),0)</f>
        <v>0</v>
      </c>
      <c r="I204" s="23">
        <v>0</v>
      </c>
      <c r="J204" s="23">
        <f>TRUNC(SUMIF(Q181:Q203, Q180,J181:J203),0)</f>
        <v>0</v>
      </c>
      <c r="K204" s="15" t="s">
        <v>823</v>
      </c>
      <c r="L204" s="23">
        <f>F204+H204+J204</f>
        <v>514767</v>
      </c>
      <c r="M204" s="5"/>
      <c r="AW204" s="5" t="s">
        <v>823</v>
      </c>
    </row>
    <row r="205" spans="1:49" ht="28.5" customHeight="1" x14ac:dyDescent="0.3">
      <c r="A205" s="19" t="s">
        <v>340</v>
      </c>
      <c r="B205" s="5"/>
      <c r="C205" s="5"/>
      <c r="D205" s="5" t="s">
        <v>823</v>
      </c>
      <c r="E205" s="5" t="s">
        <v>823</v>
      </c>
      <c r="F205" s="5" t="s">
        <v>823</v>
      </c>
      <c r="G205" s="5" t="s">
        <v>823</v>
      </c>
      <c r="H205" s="5" t="s">
        <v>823</v>
      </c>
      <c r="I205" s="5" t="s">
        <v>823</v>
      </c>
      <c r="J205" s="5" t="s">
        <v>823</v>
      </c>
      <c r="K205" s="5" t="s">
        <v>823</v>
      </c>
      <c r="L205" s="5" t="s">
        <v>823</v>
      </c>
      <c r="M205" s="5" t="s">
        <v>823</v>
      </c>
      <c r="N205" s="2" t="s">
        <v>823</v>
      </c>
      <c r="Q205" s="14" t="s">
        <v>705</v>
      </c>
      <c r="R205" s="31">
        <v>2378767</v>
      </c>
      <c r="S205" s="31">
        <v>0</v>
      </c>
      <c r="AH205" s="14"/>
      <c r="AW205" s="5" t="s">
        <v>823</v>
      </c>
    </row>
    <row r="206" spans="1:49" ht="28.5" customHeight="1" x14ac:dyDescent="0.3">
      <c r="A206" s="5" t="s">
        <v>567</v>
      </c>
      <c r="B206" s="29" t="s">
        <v>823</v>
      </c>
      <c r="C206" s="5" t="s">
        <v>136</v>
      </c>
      <c r="D206" s="10">
        <v>1</v>
      </c>
      <c r="E206" s="28">
        <f>TRUNC(TRUNC(단가대비표!U78,0)*AV206/100,0)</f>
        <v>133893378</v>
      </c>
      <c r="F206" s="23">
        <f t="shared" ref="F206:F228" si="40">TRUNC(D206*E206,0)</f>
        <v>133893378</v>
      </c>
      <c r="G206" s="28">
        <f>TRUNC(TRUNC(단가대비표!V78,0)*AV206/100,0)</f>
        <v>0</v>
      </c>
      <c r="H206" s="23">
        <f t="shared" ref="H206:H228" si="41">TRUNC(D206*G206,0)</f>
        <v>0</v>
      </c>
      <c r="I206" s="28">
        <f>TRUNC(TRUNC(단가대비표!AE78,0)*AV206/100,0)</f>
        <v>0</v>
      </c>
      <c r="J206" s="23">
        <f t="shared" ref="J206:J228" si="42">TRUNC(D206*I206,0)</f>
        <v>0</v>
      </c>
      <c r="K206" s="28">
        <f t="shared" ref="K206:K228" si="43">TRUNC(E206+G206+I206,0)</f>
        <v>133893378</v>
      </c>
      <c r="L206" s="23">
        <f t="shared" ref="L206:L228" si="44">TRUNC(F206+H206+J206,0)</f>
        <v>133893378</v>
      </c>
      <c r="M206" s="29" t="s">
        <v>1310</v>
      </c>
      <c r="N206" s="13" t="str">
        <f>HYPERLINK("#단가대비표!B78", "Z000000000000015")</f>
        <v>Z000000000000015</v>
      </c>
      <c r="O206" s="14" t="s">
        <v>823</v>
      </c>
      <c r="P206" s="14" t="s">
        <v>823</v>
      </c>
      <c r="Q206" s="14" t="s">
        <v>705</v>
      </c>
      <c r="R206" s="31">
        <v>2378767</v>
      </c>
      <c r="S206" s="31">
        <v>10</v>
      </c>
      <c r="T206" s="14" t="s">
        <v>510</v>
      </c>
      <c r="U206" s="14" t="s">
        <v>510</v>
      </c>
      <c r="V206" s="14" t="s">
        <v>904</v>
      </c>
      <c r="W206" s="14" t="s">
        <v>823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v>0</v>
      </c>
      <c r="AD206" s="31">
        <v>0</v>
      </c>
      <c r="AE206" s="31">
        <v>0</v>
      </c>
      <c r="AF206" s="31">
        <v>0</v>
      </c>
      <c r="AG206" s="31">
        <v>0</v>
      </c>
      <c r="AH206" s="31">
        <v>0</v>
      </c>
      <c r="AI206" s="31">
        <v>124</v>
      </c>
      <c r="AJ206" s="31">
        <v>0</v>
      </c>
      <c r="AK206" s="31">
        <v>0</v>
      </c>
      <c r="AL206" s="31">
        <v>0</v>
      </c>
      <c r="AM206" s="31">
        <v>0</v>
      </c>
      <c r="AN206" s="31">
        <v>0</v>
      </c>
      <c r="AO206" s="31">
        <v>0</v>
      </c>
      <c r="AP206" s="31">
        <v>0</v>
      </c>
      <c r="AQ206" s="31">
        <v>0</v>
      </c>
      <c r="AR206" s="31">
        <v>0</v>
      </c>
      <c r="AS206" s="31">
        <v>0</v>
      </c>
      <c r="AT206" s="31">
        <v>0</v>
      </c>
      <c r="AU206" s="14"/>
      <c r="AV206" s="31">
        <v>100</v>
      </c>
      <c r="AW206" s="3" t="s">
        <v>1228</v>
      </c>
    </row>
    <row r="207" spans="1:49" ht="28.5" customHeight="1" x14ac:dyDescent="0.3">
      <c r="A207" s="5" t="s">
        <v>823</v>
      </c>
      <c r="B207" s="5" t="s">
        <v>823</v>
      </c>
      <c r="C207" s="5" t="s">
        <v>823</v>
      </c>
      <c r="D207" s="23">
        <v>0</v>
      </c>
      <c r="E207" s="28">
        <v>0</v>
      </c>
      <c r="F207" s="23">
        <f t="shared" si="40"/>
        <v>0</v>
      </c>
      <c r="G207" s="28">
        <v>0</v>
      </c>
      <c r="H207" s="23">
        <f t="shared" si="41"/>
        <v>0</v>
      </c>
      <c r="I207" s="28">
        <v>0</v>
      </c>
      <c r="J207" s="23">
        <f t="shared" si="42"/>
        <v>0</v>
      </c>
      <c r="K207" s="28">
        <f t="shared" si="43"/>
        <v>0</v>
      </c>
      <c r="L207" s="23">
        <f t="shared" si="44"/>
        <v>0</v>
      </c>
      <c r="M207" s="5" t="s">
        <v>823</v>
      </c>
      <c r="N207" s="5" t="s">
        <v>823</v>
      </c>
      <c r="O207" s="5" t="s">
        <v>823</v>
      </c>
      <c r="P207" s="5" t="s">
        <v>823</v>
      </c>
      <c r="AU207" s="14"/>
      <c r="AV207" s="31">
        <v>0</v>
      </c>
      <c r="AW207" s="3" t="s">
        <v>823</v>
      </c>
    </row>
    <row r="208" spans="1:49" ht="28.5" customHeight="1" x14ac:dyDescent="0.3">
      <c r="A208" s="5" t="s">
        <v>823</v>
      </c>
      <c r="B208" s="5" t="s">
        <v>823</v>
      </c>
      <c r="C208" s="5" t="s">
        <v>823</v>
      </c>
      <c r="D208" s="23">
        <v>0</v>
      </c>
      <c r="E208" s="28">
        <v>0</v>
      </c>
      <c r="F208" s="23">
        <f t="shared" si="40"/>
        <v>0</v>
      </c>
      <c r="G208" s="28">
        <v>0</v>
      </c>
      <c r="H208" s="23">
        <f t="shared" si="41"/>
        <v>0</v>
      </c>
      <c r="I208" s="28">
        <v>0</v>
      </c>
      <c r="J208" s="23">
        <f t="shared" si="42"/>
        <v>0</v>
      </c>
      <c r="K208" s="28">
        <f t="shared" si="43"/>
        <v>0</v>
      </c>
      <c r="L208" s="23">
        <f t="shared" si="44"/>
        <v>0</v>
      </c>
      <c r="M208" s="5" t="s">
        <v>823</v>
      </c>
      <c r="N208" s="5" t="s">
        <v>823</v>
      </c>
      <c r="O208" s="5" t="s">
        <v>823</v>
      </c>
      <c r="P208" s="5" t="s">
        <v>823</v>
      </c>
      <c r="AU208" s="14"/>
      <c r="AV208" s="31">
        <v>0</v>
      </c>
      <c r="AW208" s="3" t="s">
        <v>823</v>
      </c>
    </row>
    <row r="209" spans="1:49" ht="28.5" customHeight="1" x14ac:dyDescent="0.3">
      <c r="A209" s="5" t="s">
        <v>823</v>
      </c>
      <c r="B209" s="5" t="s">
        <v>823</v>
      </c>
      <c r="C209" s="5" t="s">
        <v>823</v>
      </c>
      <c r="D209" s="23">
        <v>0</v>
      </c>
      <c r="E209" s="28">
        <v>0</v>
      </c>
      <c r="F209" s="23">
        <f t="shared" si="40"/>
        <v>0</v>
      </c>
      <c r="G209" s="28">
        <v>0</v>
      </c>
      <c r="H209" s="23">
        <f t="shared" si="41"/>
        <v>0</v>
      </c>
      <c r="I209" s="28">
        <v>0</v>
      </c>
      <c r="J209" s="23">
        <f t="shared" si="42"/>
        <v>0</v>
      </c>
      <c r="K209" s="28">
        <f t="shared" si="43"/>
        <v>0</v>
      </c>
      <c r="L209" s="23">
        <f t="shared" si="44"/>
        <v>0</v>
      </c>
      <c r="M209" s="5" t="s">
        <v>823</v>
      </c>
      <c r="N209" s="5" t="s">
        <v>823</v>
      </c>
      <c r="O209" s="5" t="s">
        <v>823</v>
      </c>
      <c r="P209" s="5" t="s">
        <v>823</v>
      </c>
      <c r="AU209" s="14"/>
      <c r="AV209" s="31">
        <v>0</v>
      </c>
      <c r="AW209" s="3" t="s">
        <v>823</v>
      </c>
    </row>
    <row r="210" spans="1:49" ht="28.5" customHeight="1" x14ac:dyDescent="0.3">
      <c r="A210" s="5" t="s">
        <v>823</v>
      </c>
      <c r="B210" s="5" t="s">
        <v>823</v>
      </c>
      <c r="C210" s="5" t="s">
        <v>823</v>
      </c>
      <c r="D210" s="23">
        <v>0</v>
      </c>
      <c r="E210" s="28">
        <v>0</v>
      </c>
      <c r="F210" s="23">
        <f t="shared" si="40"/>
        <v>0</v>
      </c>
      <c r="G210" s="28">
        <v>0</v>
      </c>
      <c r="H210" s="23">
        <f t="shared" si="41"/>
        <v>0</v>
      </c>
      <c r="I210" s="28">
        <v>0</v>
      </c>
      <c r="J210" s="23">
        <f t="shared" si="42"/>
        <v>0</v>
      </c>
      <c r="K210" s="28">
        <f t="shared" si="43"/>
        <v>0</v>
      </c>
      <c r="L210" s="23">
        <f t="shared" si="44"/>
        <v>0</v>
      </c>
      <c r="M210" s="5" t="s">
        <v>823</v>
      </c>
      <c r="N210" s="5" t="s">
        <v>823</v>
      </c>
      <c r="O210" s="5" t="s">
        <v>823</v>
      </c>
      <c r="P210" s="5" t="s">
        <v>823</v>
      </c>
      <c r="AU210" s="14"/>
      <c r="AV210" s="31">
        <v>0</v>
      </c>
      <c r="AW210" s="3" t="s">
        <v>823</v>
      </c>
    </row>
    <row r="211" spans="1:49" ht="28.5" customHeight="1" x14ac:dyDescent="0.3">
      <c r="A211" s="5" t="s">
        <v>823</v>
      </c>
      <c r="B211" s="5" t="s">
        <v>823</v>
      </c>
      <c r="C211" s="5" t="s">
        <v>823</v>
      </c>
      <c r="D211" s="23">
        <v>0</v>
      </c>
      <c r="E211" s="28">
        <v>0</v>
      </c>
      <c r="F211" s="23">
        <f t="shared" si="40"/>
        <v>0</v>
      </c>
      <c r="G211" s="28">
        <v>0</v>
      </c>
      <c r="H211" s="23">
        <f t="shared" si="41"/>
        <v>0</v>
      </c>
      <c r="I211" s="28">
        <v>0</v>
      </c>
      <c r="J211" s="23">
        <f t="shared" si="42"/>
        <v>0</v>
      </c>
      <c r="K211" s="28">
        <f t="shared" si="43"/>
        <v>0</v>
      </c>
      <c r="L211" s="23">
        <f t="shared" si="44"/>
        <v>0</v>
      </c>
      <c r="M211" s="5" t="s">
        <v>823</v>
      </c>
      <c r="N211" s="5" t="s">
        <v>823</v>
      </c>
      <c r="O211" s="5" t="s">
        <v>823</v>
      </c>
      <c r="P211" s="5" t="s">
        <v>823</v>
      </c>
      <c r="AU211" s="14"/>
      <c r="AV211" s="31">
        <v>0</v>
      </c>
      <c r="AW211" s="3" t="s">
        <v>823</v>
      </c>
    </row>
    <row r="212" spans="1:49" ht="28.5" customHeight="1" x14ac:dyDescent="0.3">
      <c r="A212" s="5" t="s">
        <v>823</v>
      </c>
      <c r="B212" s="5" t="s">
        <v>823</v>
      </c>
      <c r="C212" s="5" t="s">
        <v>823</v>
      </c>
      <c r="D212" s="23">
        <v>0</v>
      </c>
      <c r="E212" s="28">
        <v>0</v>
      </c>
      <c r="F212" s="23">
        <f t="shared" si="40"/>
        <v>0</v>
      </c>
      <c r="G212" s="28">
        <v>0</v>
      </c>
      <c r="H212" s="23">
        <f t="shared" si="41"/>
        <v>0</v>
      </c>
      <c r="I212" s="28">
        <v>0</v>
      </c>
      <c r="J212" s="23">
        <f t="shared" si="42"/>
        <v>0</v>
      </c>
      <c r="K212" s="28">
        <f t="shared" si="43"/>
        <v>0</v>
      </c>
      <c r="L212" s="23">
        <f t="shared" si="44"/>
        <v>0</v>
      </c>
      <c r="M212" s="5" t="s">
        <v>823</v>
      </c>
      <c r="N212" s="5" t="s">
        <v>823</v>
      </c>
      <c r="O212" s="5" t="s">
        <v>823</v>
      </c>
      <c r="P212" s="5" t="s">
        <v>823</v>
      </c>
      <c r="AU212" s="14"/>
      <c r="AV212" s="31">
        <v>0</v>
      </c>
      <c r="AW212" s="3" t="s">
        <v>823</v>
      </c>
    </row>
    <row r="213" spans="1:49" ht="28.5" customHeight="1" x14ac:dyDescent="0.3">
      <c r="A213" s="5" t="s">
        <v>823</v>
      </c>
      <c r="B213" s="5" t="s">
        <v>823</v>
      </c>
      <c r="C213" s="5" t="s">
        <v>823</v>
      </c>
      <c r="D213" s="23">
        <v>0</v>
      </c>
      <c r="E213" s="28">
        <v>0</v>
      </c>
      <c r="F213" s="23">
        <f t="shared" si="40"/>
        <v>0</v>
      </c>
      <c r="G213" s="28">
        <v>0</v>
      </c>
      <c r="H213" s="23">
        <f t="shared" si="41"/>
        <v>0</v>
      </c>
      <c r="I213" s="28">
        <v>0</v>
      </c>
      <c r="J213" s="23">
        <f t="shared" si="42"/>
        <v>0</v>
      </c>
      <c r="K213" s="28">
        <f t="shared" si="43"/>
        <v>0</v>
      </c>
      <c r="L213" s="23">
        <f t="shared" si="44"/>
        <v>0</v>
      </c>
      <c r="M213" s="5" t="s">
        <v>823</v>
      </c>
      <c r="N213" s="5" t="s">
        <v>823</v>
      </c>
      <c r="O213" s="5" t="s">
        <v>823</v>
      </c>
      <c r="P213" s="5" t="s">
        <v>823</v>
      </c>
      <c r="AU213" s="14"/>
      <c r="AV213" s="31">
        <v>0</v>
      </c>
      <c r="AW213" s="3" t="s">
        <v>823</v>
      </c>
    </row>
    <row r="214" spans="1:49" ht="28.5" customHeight="1" x14ac:dyDescent="0.3">
      <c r="A214" s="5" t="s">
        <v>823</v>
      </c>
      <c r="B214" s="5" t="s">
        <v>823</v>
      </c>
      <c r="C214" s="5" t="s">
        <v>823</v>
      </c>
      <c r="D214" s="23">
        <v>0</v>
      </c>
      <c r="E214" s="28">
        <v>0</v>
      </c>
      <c r="F214" s="23">
        <f t="shared" si="40"/>
        <v>0</v>
      </c>
      <c r="G214" s="28">
        <v>0</v>
      </c>
      <c r="H214" s="23">
        <f t="shared" si="41"/>
        <v>0</v>
      </c>
      <c r="I214" s="28">
        <v>0</v>
      </c>
      <c r="J214" s="23">
        <f t="shared" si="42"/>
        <v>0</v>
      </c>
      <c r="K214" s="28">
        <f t="shared" si="43"/>
        <v>0</v>
      </c>
      <c r="L214" s="23">
        <f t="shared" si="44"/>
        <v>0</v>
      </c>
      <c r="M214" s="5" t="s">
        <v>823</v>
      </c>
      <c r="N214" s="5" t="s">
        <v>823</v>
      </c>
      <c r="O214" s="5" t="s">
        <v>823</v>
      </c>
      <c r="P214" s="5" t="s">
        <v>823</v>
      </c>
      <c r="AU214" s="14"/>
      <c r="AV214" s="31">
        <v>0</v>
      </c>
      <c r="AW214" s="3" t="s">
        <v>823</v>
      </c>
    </row>
    <row r="215" spans="1:49" ht="28.5" customHeight="1" x14ac:dyDescent="0.3">
      <c r="A215" s="5" t="s">
        <v>823</v>
      </c>
      <c r="B215" s="5" t="s">
        <v>823</v>
      </c>
      <c r="C215" s="5" t="s">
        <v>823</v>
      </c>
      <c r="D215" s="23">
        <v>0</v>
      </c>
      <c r="E215" s="28">
        <v>0</v>
      </c>
      <c r="F215" s="23">
        <f t="shared" si="40"/>
        <v>0</v>
      </c>
      <c r="G215" s="28">
        <v>0</v>
      </c>
      <c r="H215" s="23">
        <f t="shared" si="41"/>
        <v>0</v>
      </c>
      <c r="I215" s="28">
        <v>0</v>
      </c>
      <c r="J215" s="23">
        <f t="shared" si="42"/>
        <v>0</v>
      </c>
      <c r="K215" s="28">
        <f t="shared" si="43"/>
        <v>0</v>
      </c>
      <c r="L215" s="23">
        <f t="shared" si="44"/>
        <v>0</v>
      </c>
      <c r="M215" s="5" t="s">
        <v>823</v>
      </c>
      <c r="N215" s="5" t="s">
        <v>823</v>
      </c>
      <c r="O215" s="5" t="s">
        <v>823</v>
      </c>
      <c r="P215" s="5" t="s">
        <v>823</v>
      </c>
      <c r="AU215" s="14"/>
      <c r="AV215" s="31">
        <v>0</v>
      </c>
      <c r="AW215" s="3" t="s">
        <v>823</v>
      </c>
    </row>
    <row r="216" spans="1:49" ht="28.5" customHeight="1" x14ac:dyDescent="0.3">
      <c r="A216" s="5" t="s">
        <v>823</v>
      </c>
      <c r="B216" s="5" t="s">
        <v>823</v>
      </c>
      <c r="C216" s="5" t="s">
        <v>823</v>
      </c>
      <c r="D216" s="23">
        <v>0</v>
      </c>
      <c r="E216" s="28">
        <v>0</v>
      </c>
      <c r="F216" s="23">
        <f t="shared" si="40"/>
        <v>0</v>
      </c>
      <c r="G216" s="28">
        <v>0</v>
      </c>
      <c r="H216" s="23">
        <f t="shared" si="41"/>
        <v>0</v>
      </c>
      <c r="I216" s="28">
        <v>0</v>
      </c>
      <c r="J216" s="23">
        <f t="shared" si="42"/>
        <v>0</v>
      </c>
      <c r="K216" s="28">
        <f t="shared" si="43"/>
        <v>0</v>
      </c>
      <c r="L216" s="23">
        <f t="shared" si="44"/>
        <v>0</v>
      </c>
      <c r="M216" s="5" t="s">
        <v>823</v>
      </c>
      <c r="N216" s="5" t="s">
        <v>823</v>
      </c>
      <c r="O216" s="5" t="s">
        <v>823</v>
      </c>
      <c r="P216" s="5" t="s">
        <v>823</v>
      </c>
      <c r="AU216" s="14"/>
      <c r="AV216" s="31">
        <v>0</v>
      </c>
      <c r="AW216" s="3" t="s">
        <v>823</v>
      </c>
    </row>
    <row r="217" spans="1:49" ht="28.5" customHeight="1" x14ac:dyDescent="0.3">
      <c r="A217" s="5" t="s">
        <v>823</v>
      </c>
      <c r="B217" s="5" t="s">
        <v>823</v>
      </c>
      <c r="C217" s="5" t="s">
        <v>823</v>
      </c>
      <c r="D217" s="23">
        <v>0</v>
      </c>
      <c r="E217" s="28">
        <v>0</v>
      </c>
      <c r="F217" s="23">
        <f t="shared" si="40"/>
        <v>0</v>
      </c>
      <c r="G217" s="28">
        <v>0</v>
      </c>
      <c r="H217" s="23">
        <f t="shared" si="41"/>
        <v>0</v>
      </c>
      <c r="I217" s="28">
        <v>0</v>
      </c>
      <c r="J217" s="23">
        <f t="shared" si="42"/>
        <v>0</v>
      </c>
      <c r="K217" s="28">
        <f t="shared" si="43"/>
        <v>0</v>
      </c>
      <c r="L217" s="23">
        <f t="shared" si="44"/>
        <v>0</v>
      </c>
      <c r="M217" s="5" t="s">
        <v>823</v>
      </c>
      <c r="N217" s="5" t="s">
        <v>823</v>
      </c>
      <c r="O217" s="5" t="s">
        <v>823</v>
      </c>
      <c r="P217" s="5" t="s">
        <v>823</v>
      </c>
      <c r="AU217" s="14"/>
      <c r="AV217" s="31">
        <v>0</v>
      </c>
      <c r="AW217" s="3" t="s">
        <v>823</v>
      </c>
    </row>
    <row r="218" spans="1:49" ht="28.5" customHeight="1" x14ac:dyDescent="0.3">
      <c r="A218" s="5" t="s">
        <v>823</v>
      </c>
      <c r="B218" s="5" t="s">
        <v>823</v>
      </c>
      <c r="C218" s="5" t="s">
        <v>823</v>
      </c>
      <c r="D218" s="23">
        <v>0</v>
      </c>
      <c r="E218" s="28">
        <v>0</v>
      </c>
      <c r="F218" s="23">
        <f t="shared" si="40"/>
        <v>0</v>
      </c>
      <c r="G218" s="28">
        <v>0</v>
      </c>
      <c r="H218" s="23">
        <f t="shared" si="41"/>
        <v>0</v>
      </c>
      <c r="I218" s="28">
        <v>0</v>
      </c>
      <c r="J218" s="23">
        <f t="shared" si="42"/>
        <v>0</v>
      </c>
      <c r="K218" s="28">
        <f t="shared" si="43"/>
        <v>0</v>
      </c>
      <c r="L218" s="23">
        <f t="shared" si="44"/>
        <v>0</v>
      </c>
      <c r="M218" s="5" t="s">
        <v>823</v>
      </c>
      <c r="N218" s="5" t="s">
        <v>823</v>
      </c>
      <c r="O218" s="5" t="s">
        <v>823</v>
      </c>
      <c r="P218" s="5" t="s">
        <v>823</v>
      </c>
      <c r="AU218" s="14"/>
      <c r="AV218" s="31">
        <v>0</v>
      </c>
      <c r="AW218" s="3" t="s">
        <v>823</v>
      </c>
    </row>
    <row r="219" spans="1:49" ht="28.5" customHeight="1" x14ac:dyDescent="0.3">
      <c r="A219" s="5" t="s">
        <v>823</v>
      </c>
      <c r="B219" s="5" t="s">
        <v>823</v>
      </c>
      <c r="C219" s="5" t="s">
        <v>823</v>
      </c>
      <c r="D219" s="23">
        <v>0</v>
      </c>
      <c r="E219" s="28">
        <v>0</v>
      </c>
      <c r="F219" s="23">
        <f t="shared" si="40"/>
        <v>0</v>
      </c>
      <c r="G219" s="28">
        <v>0</v>
      </c>
      <c r="H219" s="23">
        <f t="shared" si="41"/>
        <v>0</v>
      </c>
      <c r="I219" s="28">
        <v>0</v>
      </c>
      <c r="J219" s="23">
        <f t="shared" si="42"/>
        <v>0</v>
      </c>
      <c r="K219" s="28">
        <f t="shared" si="43"/>
        <v>0</v>
      </c>
      <c r="L219" s="23">
        <f t="shared" si="44"/>
        <v>0</v>
      </c>
      <c r="M219" s="5" t="s">
        <v>823</v>
      </c>
      <c r="N219" s="5" t="s">
        <v>823</v>
      </c>
      <c r="O219" s="5" t="s">
        <v>823</v>
      </c>
      <c r="P219" s="5" t="s">
        <v>823</v>
      </c>
      <c r="AU219" s="14"/>
      <c r="AV219" s="31">
        <v>0</v>
      </c>
      <c r="AW219" s="3" t="s">
        <v>823</v>
      </c>
    </row>
    <row r="220" spans="1:49" ht="28.5" customHeight="1" x14ac:dyDescent="0.3">
      <c r="A220" s="5" t="s">
        <v>823</v>
      </c>
      <c r="B220" s="5" t="s">
        <v>823</v>
      </c>
      <c r="C220" s="5" t="s">
        <v>823</v>
      </c>
      <c r="D220" s="23">
        <v>0</v>
      </c>
      <c r="E220" s="28">
        <v>0</v>
      </c>
      <c r="F220" s="23">
        <f t="shared" si="40"/>
        <v>0</v>
      </c>
      <c r="G220" s="28">
        <v>0</v>
      </c>
      <c r="H220" s="23">
        <f t="shared" si="41"/>
        <v>0</v>
      </c>
      <c r="I220" s="28">
        <v>0</v>
      </c>
      <c r="J220" s="23">
        <f t="shared" si="42"/>
        <v>0</v>
      </c>
      <c r="K220" s="28">
        <f t="shared" si="43"/>
        <v>0</v>
      </c>
      <c r="L220" s="23">
        <f t="shared" si="44"/>
        <v>0</v>
      </c>
      <c r="M220" s="5" t="s">
        <v>823</v>
      </c>
      <c r="N220" s="5" t="s">
        <v>823</v>
      </c>
      <c r="O220" s="5" t="s">
        <v>823</v>
      </c>
      <c r="P220" s="5" t="s">
        <v>823</v>
      </c>
      <c r="AU220" s="14"/>
      <c r="AV220" s="31">
        <v>0</v>
      </c>
      <c r="AW220" s="3" t="s">
        <v>823</v>
      </c>
    </row>
    <row r="221" spans="1:49" ht="28.5" customHeight="1" x14ac:dyDescent="0.3">
      <c r="A221" s="5" t="s">
        <v>823</v>
      </c>
      <c r="B221" s="5" t="s">
        <v>823</v>
      </c>
      <c r="C221" s="5" t="s">
        <v>823</v>
      </c>
      <c r="D221" s="23">
        <v>0</v>
      </c>
      <c r="E221" s="28">
        <v>0</v>
      </c>
      <c r="F221" s="23">
        <f t="shared" si="40"/>
        <v>0</v>
      </c>
      <c r="G221" s="28">
        <v>0</v>
      </c>
      <c r="H221" s="23">
        <f t="shared" si="41"/>
        <v>0</v>
      </c>
      <c r="I221" s="28">
        <v>0</v>
      </c>
      <c r="J221" s="23">
        <f t="shared" si="42"/>
        <v>0</v>
      </c>
      <c r="K221" s="28">
        <f t="shared" si="43"/>
        <v>0</v>
      </c>
      <c r="L221" s="23">
        <f t="shared" si="44"/>
        <v>0</v>
      </c>
      <c r="M221" s="5" t="s">
        <v>823</v>
      </c>
      <c r="N221" s="5" t="s">
        <v>823</v>
      </c>
      <c r="O221" s="5" t="s">
        <v>823</v>
      </c>
      <c r="P221" s="5" t="s">
        <v>823</v>
      </c>
      <c r="AU221" s="14"/>
      <c r="AV221" s="31">
        <v>0</v>
      </c>
      <c r="AW221" s="3" t="s">
        <v>823</v>
      </c>
    </row>
    <row r="222" spans="1:49" ht="28.5" customHeight="1" x14ac:dyDescent="0.3">
      <c r="A222" s="5" t="s">
        <v>823</v>
      </c>
      <c r="B222" s="5" t="s">
        <v>823</v>
      </c>
      <c r="C222" s="5" t="s">
        <v>823</v>
      </c>
      <c r="D222" s="23">
        <v>0</v>
      </c>
      <c r="E222" s="28">
        <v>0</v>
      </c>
      <c r="F222" s="23">
        <f t="shared" si="40"/>
        <v>0</v>
      </c>
      <c r="G222" s="28">
        <v>0</v>
      </c>
      <c r="H222" s="23">
        <f t="shared" si="41"/>
        <v>0</v>
      </c>
      <c r="I222" s="28">
        <v>0</v>
      </c>
      <c r="J222" s="23">
        <f t="shared" si="42"/>
        <v>0</v>
      </c>
      <c r="K222" s="28">
        <f t="shared" si="43"/>
        <v>0</v>
      </c>
      <c r="L222" s="23">
        <f t="shared" si="44"/>
        <v>0</v>
      </c>
      <c r="M222" s="5" t="s">
        <v>823</v>
      </c>
      <c r="N222" s="5" t="s">
        <v>823</v>
      </c>
      <c r="O222" s="5" t="s">
        <v>823</v>
      </c>
      <c r="P222" s="5" t="s">
        <v>823</v>
      </c>
      <c r="AU222" s="14"/>
      <c r="AV222" s="31">
        <v>0</v>
      </c>
      <c r="AW222" s="3" t="s">
        <v>823</v>
      </c>
    </row>
    <row r="223" spans="1:49" ht="28.5" customHeight="1" x14ac:dyDescent="0.3">
      <c r="A223" s="5" t="s">
        <v>823</v>
      </c>
      <c r="B223" s="5" t="s">
        <v>823</v>
      </c>
      <c r="C223" s="5" t="s">
        <v>823</v>
      </c>
      <c r="D223" s="23">
        <v>0</v>
      </c>
      <c r="E223" s="28">
        <v>0</v>
      </c>
      <c r="F223" s="23">
        <f t="shared" si="40"/>
        <v>0</v>
      </c>
      <c r="G223" s="28">
        <v>0</v>
      </c>
      <c r="H223" s="23">
        <f t="shared" si="41"/>
        <v>0</v>
      </c>
      <c r="I223" s="28">
        <v>0</v>
      </c>
      <c r="J223" s="23">
        <f t="shared" si="42"/>
        <v>0</v>
      </c>
      <c r="K223" s="28">
        <f t="shared" si="43"/>
        <v>0</v>
      </c>
      <c r="L223" s="23">
        <f t="shared" si="44"/>
        <v>0</v>
      </c>
      <c r="M223" s="5" t="s">
        <v>823</v>
      </c>
      <c r="N223" s="5" t="s">
        <v>823</v>
      </c>
      <c r="O223" s="5" t="s">
        <v>823</v>
      </c>
      <c r="P223" s="5" t="s">
        <v>823</v>
      </c>
      <c r="AU223" s="14"/>
      <c r="AV223" s="31">
        <v>0</v>
      </c>
      <c r="AW223" s="3" t="s">
        <v>823</v>
      </c>
    </row>
    <row r="224" spans="1:49" ht="28.5" customHeight="1" x14ac:dyDescent="0.3">
      <c r="A224" s="5" t="s">
        <v>823</v>
      </c>
      <c r="B224" s="5" t="s">
        <v>823</v>
      </c>
      <c r="C224" s="5" t="s">
        <v>823</v>
      </c>
      <c r="D224" s="23">
        <v>0</v>
      </c>
      <c r="E224" s="28">
        <v>0</v>
      </c>
      <c r="F224" s="23">
        <f t="shared" si="40"/>
        <v>0</v>
      </c>
      <c r="G224" s="28">
        <v>0</v>
      </c>
      <c r="H224" s="23">
        <f t="shared" si="41"/>
        <v>0</v>
      </c>
      <c r="I224" s="28">
        <v>0</v>
      </c>
      <c r="J224" s="23">
        <f t="shared" si="42"/>
        <v>0</v>
      </c>
      <c r="K224" s="28">
        <f t="shared" si="43"/>
        <v>0</v>
      </c>
      <c r="L224" s="23">
        <f t="shared" si="44"/>
        <v>0</v>
      </c>
      <c r="M224" s="5" t="s">
        <v>823</v>
      </c>
      <c r="N224" s="5" t="s">
        <v>823</v>
      </c>
      <c r="O224" s="5" t="s">
        <v>823</v>
      </c>
      <c r="P224" s="5" t="s">
        <v>823</v>
      </c>
      <c r="AU224" s="14"/>
      <c r="AV224" s="31">
        <v>0</v>
      </c>
      <c r="AW224" s="3" t="s">
        <v>823</v>
      </c>
    </row>
    <row r="225" spans="1:49" ht="28.5" customHeight="1" x14ac:dyDescent="0.3">
      <c r="A225" s="5" t="s">
        <v>823</v>
      </c>
      <c r="B225" s="5" t="s">
        <v>823</v>
      </c>
      <c r="C225" s="5" t="s">
        <v>823</v>
      </c>
      <c r="D225" s="23">
        <v>0</v>
      </c>
      <c r="E225" s="28">
        <v>0</v>
      </c>
      <c r="F225" s="23">
        <f t="shared" si="40"/>
        <v>0</v>
      </c>
      <c r="G225" s="28">
        <v>0</v>
      </c>
      <c r="H225" s="23">
        <f t="shared" si="41"/>
        <v>0</v>
      </c>
      <c r="I225" s="28">
        <v>0</v>
      </c>
      <c r="J225" s="23">
        <f t="shared" si="42"/>
        <v>0</v>
      </c>
      <c r="K225" s="28">
        <f t="shared" si="43"/>
        <v>0</v>
      </c>
      <c r="L225" s="23">
        <f t="shared" si="44"/>
        <v>0</v>
      </c>
      <c r="M225" s="5" t="s">
        <v>823</v>
      </c>
      <c r="N225" s="5" t="s">
        <v>823</v>
      </c>
      <c r="O225" s="5" t="s">
        <v>823</v>
      </c>
      <c r="P225" s="5" t="s">
        <v>823</v>
      </c>
      <c r="AU225" s="14"/>
      <c r="AV225" s="31">
        <v>0</v>
      </c>
      <c r="AW225" s="3" t="s">
        <v>823</v>
      </c>
    </row>
    <row r="226" spans="1:49" ht="28.5" customHeight="1" x14ac:dyDescent="0.3">
      <c r="A226" s="5" t="s">
        <v>823</v>
      </c>
      <c r="B226" s="5" t="s">
        <v>823</v>
      </c>
      <c r="C226" s="5" t="s">
        <v>823</v>
      </c>
      <c r="D226" s="23">
        <v>0</v>
      </c>
      <c r="E226" s="28">
        <v>0</v>
      </c>
      <c r="F226" s="23">
        <f t="shared" si="40"/>
        <v>0</v>
      </c>
      <c r="G226" s="28">
        <v>0</v>
      </c>
      <c r="H226" s="23">
        <f t="shared" si="41"/>
        <v>0</v>
      </c>
      <c r="I226" s="28">
        <v>0</v>
      </c>
      <c r="J226" s="23">
        <f t="shared" si="42"/>
        <v>0</v>
      </c>
      <c r="K226" s="28">
        <f t="shared" si="43"/>
        <v>0</v>
      </c>
      <c r="L226" s="23">
        <f t="shared" si="44"/>
        <v>0</v>
      </c>
      <c r="M226" s="5" t="s">
        <v>823</v>
      </c>
      <c r="N226" s="5" t="s">
        <v>823</v>
      </c>
      <c r="O226" s="5" t="s">
        <v>823</v>
      </c>
      <c r="P226" s="5" t="s">
        <v>823</v>
      </c>
      <c r="AU226" s="14"/>
      <c r="AV226" s="31">
        <v>0</v>
      </c>
      <c r="AW226" s="3" t="s">
        <v>823</v>
      </c>
    </row>
    <row r="227" spans="1:49" ht="28.5" customHeight="1" x14ac:dyDescent="0.3">
      <c r="A227" s="5" t="s">
        <v>823</v>
      </c>
      <c r="B227" s="5" t="s">
        <v>823</v>
      </c>
      <c r="C227" s="5" t="s">
        <v>823</v>
      </c>
      <c r="D227" s="23">
        <v>0</v>
      </c>
      <c r="E227" s="28">
        <v>0</v>
      </c>
      <c r="F227" s="23">
        <f t="shared" si="40"/>
        <v>0</v>
      </c>
      <c r="G227" s="28">
        <v>0</v>
      </c>
      <c r="H227" s="23">
        <f t="shared" si="41"/>
        <v>0</v>
      </c>
      <c r="I227" s="28">
        <v>0</v>
      </c>
      <c r="J227" s="23">
        <f t="shared" si="42"/>
        <v>0</v>
      </c>
      <c r="K227" s="28">
        <f t="shared" si="43"/>
        <v>0</v>
      </c>
      <c r="L227" s="23">
        <f t="shared" si="44"/>
        <v>0</v>
      </c>
      <c r="M227" s="5" t="s">
        <v>823</v>
      </c>
      <c r="N227" s="5" t="s">
        <v>823</v>
      </c>
      <c r="O227" s="5" t="s">
        <v>823</v>
      </c>
      <c r="P227" s="5" t="s">
        <v>823</v>
      </c>
      <c r="AU227" s="14"/>
      <c r="AV227" s="31">
        <v>0</v>
      </c>
      <c r="AW227" s="3" t="s">
        <v>823</v>
      </c>
    </row>
    <row r="228" spans="1:49" ht="28.5" customHeight="1" x14ac:dyDescent="0.3">
      <c r="A228" s="5" t="s">
        <v>823</v>
      </c>
      <c r="B228" s="5" t="s">
        <v>823</v>
      </c>
      <c r="C228" s="5" t="s">
        <v>823</v>
      </c>
      <c r="D228" s="23">
        <v>0</v>
      </c>
      <c r="E228" s="28">
        <v>0</v>
      </c>
      <c r="F228" s="23">
        <f t="shared" si="40"/>
        <v>0</v>
      </c>
      <c r="G228" s="28">
        <v>0</v>
      </c>
      <c r="H228" s="23">
        <f t="shared" si="41"/>
        <v>0</v>
      </c>
      <c r="I228" s="28">
        <v>0</v>
      </c>
      <c r="J228" s="23">
        <f t="shared" si="42"/>
        <v>0</v>
      </c>
      <c r="K228" s="28">
        <f t="shared" si="43"/>
        <v>0</v>
      </c>
      <c r="L228" s="23">
        <f t="shared" si="44"/>
        <v>0</v>
      </c>
      <c r="M228" s="5" t="s">
        <v>823</v>
      </c>
      <c r="N228" s="5" t="s">
        <v>823</v>
      </c>
      <c r="O228" s="5" t="s">
        <v>823</v>
      </c>
      <c r="P228" s="5" t="s">
        <v>823</v>
      </c>
      <c r="AU228" s="14"/>
      <c r="AV228" s="31">
        <v>0</v>
      </c>
      <c r="AW228" s="3" t="s">
        <v>823</v>
      </c>
    </row>
    <row r="229" spans="1:49" ht="28.5" customHeight="1" x14ac:dyDescent="0.3">
      <c r="A229" s="5" t="s">
        <v>141</v>
      </c>
      <c r="B229" s="5" t="s">
        <v>823</v>
      </c>
      <c r="C229" s="5" t="s">
        <v>823</v>
      </c>
      <c r="D229" s="5" t="s">
        <v>823</v>
      </c>
      <c r="E229" s="18">
        <v>0</v>
      </c>
      <c r="F229" s="23">
        <f>TRUNC(SUMIF(Q206:Q228, Q205,F206:F228),0)</f>
        <v>133893378</v>
      </c>
      <c r="G229" s="23">
        <v>0</v>
      </c>
      <c r="H229" s="23">
        <f>TRUNC(SUMIF(Q206:Q228, Q205,H206:H228),0)</f>
        <v>0</v>
      </c>
      <c r="I229" s="23">
        <v>0</v>
      </c>
      <c r="J229" s="23">
        <f>TRUNC(SUMIF(Q206:Q228, Q205,J206:J228),0)</f>
        <v>0</v>
      </c>
      <c r="K229" s="15" t="s">
        <v>823</v>
      </c>
      <c r="L229" s="23">
        <f>F229+H229+J229</f>
        <v>133893378</v>
      </c>
      <c r="M229" s="5"/>
      <c r="AW229" s="5" t="s">
        <v>823</v>
      </c>
    </row>
    <row r="230" spans="1:49" ht="28.5" customHeight="1" x14ac:dyDescent="0.3">
      <c r="A230" s="19" t="s">
        <v>376</v>
      </c>
      <c r="B230" s="5"/>
      <c r="C230" s="5"/>
      <c r="D230" s="5" t="s">
        <v>823</v>
      </c>
      <c r="E230" s="5" t="s">
        <v>823</v>
      </c>
      <c r="F230" s="5" t="s">
        <v>823</v>
      </c>
      <c r="G230" s="5" t="s">
        <v>823</v>
      </c>
      <c r="H230" s="5" t="s">
        <v>823</v>
      </c>
      <c r="I230" s="5" t="s">
        <v>823</v>
      </c>
      <c r="J230" s="5" t="s">
        <v>823</v>
      </c>
      <c r="K230" s="5" t="s">
        <v>823</v>
      </c>
      <c r="L230" s="5" t="s">
        <v>823</v>
      </c>
      <c r="M230" s="5" t="s">
        <v>823</v>
      </c>
      <c r="N230" s="2" t="s">
        <v>823</v>
      </c>
      <c r="Q230" s="14" t="s">
        <v>620</v>
      </c>
      <c r="R230" s="31">
        <v>2434465</v>
      </c>
      <c r="S230" s="31">
        <v>0</v>
      </c>
      <c r="AH230" s="14"/>
      <c r="AW230" s="5" t="s">
        <v>823</v>
      </c>
    </row>
    <row r="231" spans="1:49" ht="28.5" customHeight="1" x14ac:dyDescent="0.3">
      <c r="A231" s="5" t="s">
        <v>243</v>
      </c>
      <c r="B231" s="29" t="s">
        <v>823</v>
      </c>
      <c r="C231" s="5" t="s">
        <v>136</v>
      </c>
      <c r="D231" s="10">
        <v>1</v>
      </c>
      <c r="E231" s="28">
        <f>TRUNC(TRUNC(단가대비표!U79,0)*AV231/100,0)</f>
        <v>3200000</v>
      </c>
      <c r="F231" s="23">
        <f t="shared" ref="F231:F253" si="45">TRUNC(D231*E231,0)</f>
        <v>3200000</v>
      </c>
      <c r="G231" s="28">
        <f>TRUNC(TRUNC(단가대비표!V79,0)*AV231/100,0)</f>
        <v>0</v>
      </c>
      <c r="H231" s="23">
        <f t="shared" ref="H231:H253" si="46">TRUNC(D231*G231,0)</f>
        <v>0</v>
      </c>
      <c r="I231" s="28">
        <f>TRUNC(TRUNC(단가대비표!AE79,0)*AV231/100,0)</f>
        <v>0</v>
      </c>
      <c r="J231" s="23">
        <f t="shared" ref="J231:J253" si="47">TRUNC(D231*I231,0)</f>
        <v>0</v>
      </c>
      <c r="K231" s="28">
        <f t="shared" ref="K231:K253" si="48">TRUNC(E231+G231+I231,0)</f>
        <v>3200000</v>
      </c>
      <c r="L231" s="23">
        <f t="shared" ref="L231:L253" si="49">TRUNC(F231+H231+J231,0)</f>
        <v>3200000</v>
      </c>
      <c r="M231" s="29" t="s">
        <v>1310</v>
      </c>
      <c r="N231" s="13" t="str">
        <f>HYPERLINK("#단가대비표!B79", "Z000000000000018")</f>
        <v>Z000000000000018</v>
      </c>
      <c r="O231" s="14" t="s">
        <v>823</v>
      </c>
      <c r="P231" s="14" t="s">
        <v>823</v>
      </c>
      <c r="Q231" s="14" t="s">
        <v>620</v>
      </c>
      <c r="R231" s="31">
        <v>2434465</v>
      </c>
      <c r="S231" s="31">
        <v>10</v>
      </c>
      <c r="T231" s="14" t="s">
        <v>510</v>
      </c>
      <c r="U231" s="14" t="s">
        <v>510</v>
      </c>
      <c r="V231" s="14" t="s">
        <v>904</v>
      </c>
      <c r="W231" s="14" t="s">
        <v>823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0</v>
      </c>
      <c r="AG231" s="31">
        <v>0</v>
      </c>
      <c r="AH231" s="31">
        <v>0</v>
      </c>
      <c r="AI231" s="31">
        <v>126</v>
      </c>
      <c r="AJ231" s="31">
        <v>0</v>
      </c>
      <c r="AK231" s="31">
        <v>0</v>
      </c>
      <c r="AL231" s="31">
        <v>0</v>
      </c>
      <c r="AM231" s="31">
        <v>0</v>
      </c>
      <c r="AN231" s="31">
        <v>0</v>
      </c>
      <c r="AO231" s="31">
        <v>0</v>
      </c>
      <c r="AP231" s="31">
        <v>0</v>
      </c>
      <c r="AQ231" s="31">
        <v>0</v>
      </c>
      <c r="AR231" s="31">
        <v>0</v>
      </c>
      <c r="AS231" s="31">
        <v>0</v>
      </c>
      <c r="AT231" s="31">
        <v>0</v>
      </c>
      <c r="AU231" s="14"/>
      <c r="AV231" s="31">
        <v>100</v>
      </c>
      <c r="AW231" s="3" t="s">
        <v>434</v>
      </c>
    </row>
    <row r="232" spans="1:49" ht="28.5" customHeight="1" x14ac:dyDescent="0.3">
      <c r="A232" s="5" t="s">
        <v>823</v>
      </c>
      <c r="B232" s="5" t="s">
        <v>823</v>
      </c>
      <c r="C232" s="5" t="s">
        <v>823</v>
      </c>
      <c r="D232" s="23">
        <v>0</v>
      </c>
      <c r="E232" s="28">
        <v>0</v>
      </c>
      <c r="F232" s="23">
        <f t="shared" si="45"/>
        <v>0</v>
      </c>
      <c r="G232" s="28">
        <v>0</v>
      </c>
      <c r="H232" s="23">
        <f t="shared" si="46"/>
        <v>0</v>
      </c>
      <c r="I232" s="28">
        <v>0</v>
      </c>
      <c r="J232" s="23">
        <f t="shared" si="47"/>
        <v>0</v>
      </c>
      <c r="K232" s="28">
        <f t="shared" si="48"/>
        <v>0</v>
      </c>
      <c r="L232" s="23">
        <f t="shared" si="49"/>
        <v>0</v>
      </c>
      <c r="M232" s="5" t="s">
        <v>823</v>
      </c>
      <c r="N232" s="5" t="s">
        <v>823</v>
      </c>
      <c r="O232" s="5" t="s">
        <v>823</v>
      </c>
      <c r="P232" s="5" t="s">
        <v>823</v>
      </c>
      <c r="AU232" s="14"/>
      <c r="AV232" s="31">
        <v>0</v>
      </c>
      <c r="AW232" s="3" t="s">
        <v>823</v>
      </c>
    </row>
    <row r="233" spans="1:49" ht="28.5" customHeight="1" x14ac:dyDescent="0.3">
      <c r="A233" s="5" t="s">
        <v>823</v>
      </c>
      <c r="B233" s="5" t="s">
        <v>823</v>
      </c>
      <c r="C233" s="5" t="s">
        <v>823</v>
      </c>
      <c r="D233" s="23">
        <v>0</v>
      </c>
      <c r="E233" s="28">
        <v>0</v>
      </c>
      <c r="F233" s="23">
        <f t="shared" si="45"/>
        <v>0</v>
      </c>
      <c r="G233" s="28">
        <v>0</v>
      </c>
      <c r="H233" s="23">
        <f t="shared" si="46"/>
        <v>0</v>
      </c>
      <c r="I233" s="28">
        <v>0</v>
      </c>
      <c r="J233" s="23">
        <f t="shared" si="47"/>
        <v>0</v>
      </c>
      <c r="K233" s="28">
        <f t="shared" si="48"/>
        <v>0</v>
      </c>
      <c r="L233" s="23">
        <f t="shared" si="49"/>
        <v>0</v>
      </c>
      <c r="M233" s="5" t="s">
        <v>823</v>
      </c>
      <c r="N233" s="5" t="s">
        <v>823</v>
      </c>
      <c r="O233" s="5" t="s">
        <v>823</v>
      </c>
      <c r="P233" s="5" t="s">
        <v>823</v>
      </c>
      <c r="AU233" s="14"/>
      <c r="AV233" s="31">
        <v>0</v>
      </c>
      <c r="AW233" s="3" t="s">
        <v>823</v>
      </c>
    </row>
    <row r="234" spans="1:49" ht="28.5" customHeight="1" x14ac:dyDescent="0.3">
      <c r="A234" s="5" t="s">
        <v>823</v>
      </c>
      <c r="B234" s="5" t="s">
        <v>823</v>
      </c>
      <c r="C234" s="5" t="s">
        <v>823</v>
      </c>
      <c r="D234" s="23">
        <v>0</v>
      </c>
      <c r="E234" s="28">
        <v>0</v>
      </c>
      <c r="F234" s="23">
        <f t="shared" si="45"/>
        <v>0</v>
      </c>
      <c r="G234" s="28">
        <v>0</v>
      </c>
      <c r="H234" s="23">
        <f t="shared" si="46"/>
        <v>0</v>
      </c>
      <c r="I234" s="28">
        <v>0</v>
      </c>
      <c r="J234" s="23">
        <f t="shared" si="47"/>
        <v>0</v>
      </c>
      <c r="K234" s="28">
        <f t="shared" si="48"/>
        <v>0</v>
      </c>
      <c r="L234" s="23">
        <f t="shared" si="49"/>
        <v>0</v>
      </c>
      <c r="M234" s="5" t="s">
        <v>823</v>
      </c>
      <c r="N234" s="5" t="s">
        <v>823</v>
      </c>
      <c r="O234" s="5" t="s">
        <v>823</v>
      </c>
      <c r="P234" s="5" t="s">
        <v>823</v>
      </c>
      <c r="AU234" s="14"/>
      <c r="AV234" s="31">
        <v>0</v>
      </c>
      <c r="AW234" s="3" t="s">
        <v>823</v>
      </c>
    </row>
    <row r="235" spans="1:49" ht="28.5" customHeight="1" x14ac:dyDescent="0.3">
      <c r="A235" s="5" t="s">
        <v>823</v>
      </c>
      <c r="B235" s="5" t="s">
        <v>823</v>
      </c>
      <c r="C235" s="5" t="s">
        <v>823</v>
      </c>
      <c r="D235" s="23">
        <v>0</v>
      </c>
      <c r="E235" s="28">
        <v>0</v>
      </c>
      <c r="F235" s="23">
        <f t="shared" si="45"/>
        <v>0</v>
      </c>
      <c r="G235" s="28">
        <v>0</v>
      </c>
      <c r="H235" s="23">
        <f t="shared" si="46"/>
        <v>0</v>
      </c>
      <c r="I235" s="28">
        <v>0</v>
      </c>
      <c r="J235" s="23">
        <f t="shared" si="47"/>
        <v>0</v>
      </c>
      <c r="K235" s="28">
        <f t="shared" si="48"/>
        <v>0</v>
      </c>
      <c r="L235" s="23">
        <f t="shared" si="49"/>
        <v>0</v>
      </c>
      <c r="M235" s="5" t="s">
        <v>823</v>
      </c>
      <c r="N235" s="5" t="s">
        <v>823</v>
      </c>
      <c r="O235" s="5" t="s">
        <v>823</v>
      </c>
      <c r="P235" s="5" t="s">
        <v>823</v>
      </c>
      <c r="AU235" s="14"/>
      <c r="AV235" s="31">
        <v>0</v>
      </c>
      <c r="AW235" s="3" t="s">
        <v>823</v>
      </c>
    </row>
    <row r="236" spans="1:49" ht="28.5" customHeight="1" x14ac:dyDescent="0.3">
      <c r="A236" s="5" t="s">
        <v>823</v>
      </c>
      <c r="B236" s="5" t="s">
        <v>823</v>
      </c>
      <c r="C236" s="5" t="s">
        <v>823</v>
      </c>
      <c r="D236" s="23">
        <v>0</v>
      </c>
      <c r="E236" s="28">
        <v>0</v>
      </c>
      <c r="F236" s="23">
        <f t="shared" si="45"/>
        <v>0</v>
      </c>
      <c r="G236" s="28">
        <v>0</v>
      </c>
      <c r="H236" s="23">
        <f t="shared" si="46"/>
        <v>0</v>
      </c>
      <c r="I236" s="28">
        <v>0</v>
      </c>
      <c r="J236" s="23">
        <f t="shared" si="47"/>
        <v>0</v>
      </c>
      <c r="K236" s="28">
        <f t="shared" si="48"/>
        <v>0</v>
      </c>
      <c r="L236" s="23">
        <f t="shared" si="49"/>
        <v>0</v>
      </c>
      <c r="M236" s="5" t="s">
        <v>823</v>
      </c>
      <c r="N236" s="5" t="s">
        <v>823</v>
      </c>
      <c r="O236" s="5" t="s">
        <v>823</v>
      </c>
      <c r="P236" s="5" t="s">
        <v>823</v>
      </c>
      <c r="AU236" s="14"/>
      <c r="AV236" s="31">
        <v>0</v>
      </c>
      <c r="AW236" s="3" t="s">
        <v>823</v>
      </c>
    </row>
    <row r="237" spans="1:49" ht="28.5" customHeight="1" x14ac:dyDescent="0.3">
      <c r="A237" s="5" t="s">
        <v>823</v>
      </c>
      <c r="B237" s="5" t="s">
        <v>823</v>
      </c>
      <c r="C237" s="5" t="s">
        <v>823</v>
      </c>
      <c r="D237" s="23">
        <v>0</v>
      </c>
      <c r="E237" s="28">
        <v>0</v>
      </c>
      <c r="F237" s="23">
        <f t="shared" si="45"/>
        <v>0</v>
      </c>
      <c r="G237" s="28">
        <v>0</v>
      </c>
      <c r="H237" s="23">
        <f t="shared" si="46"/>
        <v>0</v>
      </c>
      <c r="I237" s="28">
        <v>0</v>
      </c>
      <c r="J237" s="23">
        <f t="shared" si="47"/>
        <v>0</v>
      </c>
      <c r="K237" s="28">
        <f t="shared" si="48"/>
        <v>0</v>
      </c>
      <c r="L237" s="23">
        <f t="shared" si="49"/>
        <v>0</v>
      </c>
      <c r="M237" s="5" t="s">
        <v>823</v>
      </c>
      <c r="N237" s="5" t="s">
        <v>823</v>
      </c>
      <c r="O237" s="5" t="s">
        <v>823</v>
      </c>
      <c r="P237" s="5" t="s">
        <v>823</v>
      </c>
      <c r="AU237" s="14"/>
      <c r="AV237" s="31">
        <v>0</v>
      </c>
      <c r="AW237" s="3" t="s">
        <v>823</v>
      </c>
    </row>
    <row r="238" spans="1:49" ht="28.5" customHeight="1" x14ac:dyDescent="0.3">
      <c r="A238" s="5" t="s">
        <v>823</v>
      </c>
      <c r="B238" s="5" t="s">
        <v>823</v>
      </c>
      <c r="C238" s="5" t="s">
        <v>823</v>
      </c>
      <c r="D238" s="23">
        <v>0</v>
      </c>
      <c r="E238" s="28">
        <v>0</v>
      </c>
      <c r="F238" s="23">
        <f t="shared" si="45"/>
        <v>0</v>
      </c>
      <c r="G238" s="28">
        <v>0</v>
      </c>
      <c r="H238" s="23">
        <f t="shared" si="46"/>
        <v>0</v>
      </c>
      <c r="I238" s="28">
        <v>0</v>
      </c>
      <c r="J238" s="23">
        <f t="shared" si="47"/>
        <v>0</v>
      </c>
      <c r="K238" s="28">
        <f t="shared" si="48"/>
        <v>0</v>
      </c>
      <c r="L238" s="23">
        <f t="shared" si="49"/>
        <v>0</v>
      </c>
      <c r="M238" s="5" t="s">
        <v>823</v>
      </c>
      <c r="N238" s="5" t="s">
        <v>823</v>
      </c>
      <c r="O238" s="5" t="s">
        <v>823</v>
      </c>
      <c r="P238" s="5" t="s">
        <v>823</v>
      </c>
      <c r="AU238" s="14"/>
      <c r="AV238" s="31">
        <v>0</v>
      </c>
      <c r="AW238" s="3" t="s">
        <v>823</v>
      </c>
    </row>
    <row r="239" spans="1:49" ht="28.5" customHeight="1" x14ac:dyDescent="0.3">
      <c r="A239" s="5" t="s">
        <v>823</v>
      </c>
      <c r="B239" s="5" t="s">
        <v>823</v>
      </c>
      <c r="C239" s="5" t="s">
        <v>823</v>
      </c>
      <c r="D239" s="23">
        <v>0</v>
      </c>
      <c r="E239" s="28">
        <v>0</v>
      </c>
      <c r="F239" s="23">
        <f t="shared" si="45"/>
        <v>0</v>
      </c>
      <c r="G239" s="28">
        <v>0</v>
      </c>
      <c r="H239" s="23">
        <f t="shared" si="46"/>
        <v>0</v>
      </c>
      <c r="I239" s="28">
        <v>0</v>
      </c>
      <c r="J239" s="23">
        <f t="shared" si="47"/>
        <v>0</v>
      </c>
      <c r="K239" s="28">
        <f t="shared" si="48"/>
        <v>0</v>
      </c>
      <c r="L239" s="23">
        <f t="shared" si="49"/>
        <v>0</v>
      </c>
      <c r="M239" s="5" t="s">
        <v>823</v>
      </c>
      <c r="N239" s="5" t="s">
        <v>823</v>
      </c>
      <c r="O239" s="5" t="s">
        <v>823</v>
      </c>
      <c r="P239" s="5" t="s">
        <v>823</v>
      </c>
      <c r="AU239" s="14"/>
      <c r="AV239" s="31">
        <v>0</v>
      </c>
      <c r="AW239" s="3" t="s">
        <v>823</v>
      </c>
    </row>
    <row r="240" spans="1:49" ht="28.5" customHeight="1" x14ac:dyDescent="0.3">
      <c r="A240" s="5" t="s">
        <v>823</v>
      </c>
      <c r="B240" s="5" t="s">
        <v>823</v>
      </c>
      <c r="C240" s="5" t="s">
        <v>823</v>
      </c>
      <c r="D240" s="23">
        <v>0</v>
      </c>
      <c r="E240" s="28">
        <v>0</v>
      </c>
      <c r="F240" s="23">
        <f t="shared" si="45"/>
        <v>0</v>
      </c>
      <c r="G240" s="28">
        <v>0</v>
      </c>
      <c r="H240" s="23">
        <f t="shared" si="46"/>
        <v>0</v>
      </c>
      <c r="I240" s="28">
        <v>0</v>
      </c>
      <c r="J240" s="23">
        <f t="shared" si="47"/>
        <v>0</v>
      </c>
      <c r="K240" s="28">
        <f t="shared" si="48"/>
        <v>0</v>
      </c>
      <c r="L240" s="23">
        <f t="shared" si="49"/>
        <v>0</v>
      </c>
      <c r="M240" s="5" t="s">
        <v>823</v>
      </c>
      <c r="N240" s="5" t="s">
        <v>823</v>
      </c>
      <c r="O240" s="5" t="s">
        <v>823</v>
      </c>
      <c r="P240" s="5" t="s">
        <v>823</v>
      </c>
      <c r="AU240" s="14"/>
      <c r="AV240" s="31">
        <v>0</v>
      </c>
      <c r="AW240" s="3" t="s">
        <v>823</v>
      </c>
    </row>
    <row r="241" spans="1:49" ht="28.5" customHeight="1" x14ac:dyDescent="0.3">
      <c r="A241" s="5" t="s">
        <v>823</v>
      </c>
      <c r="B241" s="5" t="s">
        <v>823</v>
      </c>
      <c r="C241" s="5" t="s">
        <v>823</v>
      </c>
      <c r="D241" s="23">
        <v>0</v>
      </c>
      <c r="E241" s="28">
        <v>0</v>
      </c>
      <c r="F241" s="23">
        <f t="shared" si="45"/>
        <v>0</v>
      </c>
      <c r="G241" s="28">
        <v>0</v>
      </c>
      <c r="H241" s="23">
        <f t="shared" si="46"/>
        <v>0</v>
      </c>
      <c r="I241" s="28">
        <v>0</v>
      </c>
      <c r="J241" s="23">
        <f t="shared" si="47"/>
        <v>0</v>
      </c>
      <c r="K241" s="28">
        <f t="shared" si="48"/>
        <v>0</v>
      </c>
      <c r="L241" s="23">
        <f t="shared" si="49"/>
        <v>0</v>
      </c>
      <c r="M241" s="5" t="s">
        <v>823</v>
      </c>
      <c r="N241" s="5" t="s">
        <v>823</v>
      </c>
      <c r="O241" s="5" t="s">
        <v>823</v>
      </c>
      <c r="P241" s="5" t="s">
        <v>823</v>
      </c>
      <c r="AU241" s="14"/>
      <c r="AV241" s="31">
        <v>0</v>
      </c>
      <c r="AW241" s="3" t="s">
        <v>823</v>
      </c>
    </row>
    <row r="242" spans="1:49" ht="28.5" customHeight="1" x14ac:dyDescent="0.3">
      <c r="A242" s="5" t="s">
        <v>823</v>
      </c>
      <c r="B242" s="5" t="s">
        <v>823</v>
      </c>
      <c r="C242" s="5" t="s">
        <v>823</v>
      </c>
      <c r="D242" s="23">
        <v>0</v>
      </c>
      <c r="E242" s="28">
        <v>0</v>
      </c>
      <c r="F242" s="23">
        <f t="shared" si="45"/>
        <v>0</v>
      </c>
      <c r="G242" s="28">
        <v>0</v>
      </c>
      <c r="H242" s="23">
        <f t="shared" si="46"/>
        <v>0</v>
      </c>
      <c r="I242" s="28">
        <v>0</v>
      </c>
      <c r="J242" s="23">
        <f t="shared" si="47"/>
        <v>0</v>
      </c>
      <c r="K242" s="28">
        <f t="shared" si="48"/>
        <v>0</v>
      </c>
      <c r="L242" s="23">
        <f t="shared" si="49"/>
        <v>0</v>
      </c>
      <c r="M242" s="5" t="s">
        <v>823</v>
      </c>
      <c r="N242" s="5" t="s">
        <v>823</v>
      </c>
      <c r="O242" s="5" t="s">
        <v>823</v>
      </c>
      <c r="P242" s="5" t="s">
        <v>823</v>
      </c>
      <c r="AU242" s="14"/>
      <c r="AV242" s="31">
        <v>0</v>
      </c>
      <c r="AW242" s="3" t="s">
        <v>823</v>
      </c>
    </row>
    <row r="243" spans="1:49" ht="28.5" customHeight="1" x14ac:dyDescent="0.3">
      <c r="A243" s="5" t="s">
        <v>823</v>
      </c>
      <c r="B243" s="5" t="s">
        <v>823</v>
      </c>
      <c r="C243" s="5" t="s">
        <v>823</v>
      </c>
      <c r="D243" s="23">
        <v>0</v>
      </c>
      <c r="E243" s="28">
        <v>0</v>
      </c>
      <c r="F243" s="23">
        <f t="shared" si="45"/>
        <v>0</v>
      </c>
      <c r="G243" s="28">
        <v>0</v>
      </c>
      <c r="H243" s="23">
        <f t="shared" si="46"/>
        <v>0</v>
      </c>
      <c r="I243" s="28">
        <v>0</v>
      </c>
      <c r="J243" s="23">
        <f t="shared" si="47"/>
        <v>0</v>
      </c>
      <c r="K243" s="28">
        <f t="shared" si="48"/>
        <v>0</v>
      </c>
      <c r="L243" s="23">
        <f t="shared" si="49"/>
        <v>0</v>
      </c>
      <c r="M243" s="5" t="s">
        <v>823</v>
      </c>
      <c r="N243" s="5" t="s">
        <v>823</v>
      </c>
      <c r="O243" s="5" t="s">
        <v>823</v>
      </c>
      <c r="P243" s="5" t="s">
        <v>823</v>
      </c>
      <c r="AU243" s="14"/>
      <c r="AV243" s="31">
        <v>0</v>
      </c>
      <c r="AW243" s="3" t="s">
        <v>823</v>
      </c>
    </row>
    <row r="244" spans="1:49" ht="28.5" customHeight="1" x14ac:dyDescent="0.3">
      <c r="A244" s="5" t="s">
        <v>823</v>
      </c>
      <c r="B244" s="5" t="s">
        <v>823</v>
      </c>
      <c r="C244" s="5" t="s">
        <v>823</v>
      </c>
      <c r="D244" s="23">
        <v>0</v>
      </c>
      <c r="E244" s="28">
        <v>0</v>
      </c>
      <c r="F244" s="23">
        <f t="shared" si="45"/>
        <v>0</v>
      </c>
      <c r="G244" s="28">
        <v>0</v>
      </c>
      <c r="H244" s="23">
        <f t="shared" si="46"/>
        <v>0</v>
      </c>
      <c r="I244" s="28">
        <v>0</v>
      </c>
      <c r="J244" s="23">
        <f t="shared" si="47"/>
        <v>0</v>
      </c>
      <c r="K244" s="28">
        <f t="shared" si="48"/>
        <v>0</v>
      </c>
      <c r="L244" s="23">
        <f t="shared" si="49"/>
        <v>0</v>
      </c>
      <c r="M244" s="5" t="s">
        <v>823</v>
      </c>
      <c r="N244" s="5" t="s">
        <v>823</v>
      </c>
      <c r="O244" s="5" t="s">
        <v>823</v>
      </c>
      <c r="P244" s="5" t="s">
        <v>823</v>
      </c>
      <c r="AU244" s="14"/>
      <c r="AV244" s="31">
        <v>0</v>
      </c>
      <c r="AW244" s="3" t="s">
        <v>823</v>
      </c>
    </row>
    <row r="245" spans="1:49" ht="28.5" customHeight="1" x14ac:dyDescent="0.3">
      <c r="A245" s="5" t="s">
        <v>823</v>
      </c>
      <c r="B245" s="5" t="s">
        <v>823</v>
      </c>
      <c r="C245" s="5" t="s">
        <v>823</v>
      </c>
      <c r="D245" s="23">
        <v>0</v>
      </c>
      <c r="E245" s="28">
        <v>0</v>
      </c>
      <c r="F245" s="23">
        <f t="shared" si="45"/>
        <v>0</v>
      </c>
      <c r="G245" s="28">
        <v>0</v>
      </c>
      <c r="H245" s="23">
        <f t="shared" si="46"/>
        <v>0</v>
      </c>
      <c r="I245" s="28">
        <v>0</v>
      </c>
      <c r="J245" s="23">
        <f t="shared" si="47"/>
        <v>0</v>
      </c>
      <c r="K245" s="28">
        <f t="shared" si="48"/>
        <v>0</v>
      </c>
      <c r="L245" s="23">
        <f t="shared" si="49"/>
        <v>0</v>
      </c>
      <c r="M245" s="5" t="s">
        <v>823</v>
      </c>
      <c r="N245" s="5" t="s">
        <v>823</v>
      </c>
      <c r="O245" s="5" t="s">
        <v>823</v>
      </c>
      <c r="P245" s="5" t="s">
        <v>823</v>
      </c>
      <c r="AU245" s="14"/>
      <c r="AV245" s="31">
        <v>0</v>
      </c>
      <c r="AW245" s="3" t="s">
        <v>823</v>
      </c>
    </row>
    <row r="246" spans="1:49" ht="28.5" customHeight="1" x14ac:dyDescent="0.3">
      <c r="A246" s="5" t="s">
        <v>823</v>
      </c>
      <c r="B246" s="5" t="s">
        <v>823</v>
      </c>
      <c r="C246" s="5" t="s">
        <v>823</v>
      </c>
      <c r="D246" s="23">
        <v>0</v>
      </c>
      <c r="E246" s="28">
        <v>0</v>
      </c>
      <c r="F246" s="23">
        <f t="shared" si="45"/>
        <v>0</v>
      </c>
      <c r="G246" s="28">
        <v>0</v>
      </c>
      <c r="H246" s="23">
        <f t="shared" si="46"/>
        <v>0</v>
      </c>
      <c r="I246" s="28">
        <v>0</v>
      </c>
      <c r="J246" s="23">
        <f t="shared" si="47"/>
        <v>0</v>
      </c>
      <c r="K246" s="28">
        <f t="shared" si="48"/>
        <v>0</v>
      </c>
      <c r="L246" s="23">
        <f t="shared" si="49"/>
        <v>0</v>
      </c>
      <c r="M246" s="5" t="s">
        <v>823</v>
      </c>
      <c r="N246" s="5" t="s">
        <v>823</v>
      </c>
      <c r="O246" s="5" t="s">
        <v>823</v>
      </c>
      <c r="P246" s="5" t="s">
        <v>823</v>
      </c>
      <c r="AU246" s="14"/>
      <c r="AV246" s="31">
        <v>0</v>
      </c>
      <c r="AW246" s="3" t="s">
        <v>823</v>
      </c>
    </row>
    <row r="247" spans="1:49" ht="28.5" customHeight="1" x14ac:dyDescent="0.3">
      <c r="A247" s="5" t="s">
        <v>823</v>
      </c>
      <c r="B247" s="5" t="s">
        <v>823</v>
      </c>
      <c r="C247" s="5" t="s">
        <v>823</v>
      </c>
      <c r="D247" s="23">
        <v>0</v>
      </c>
      <c r="E247" s="28">
        <v>0</v>
      </c>
      <c r="F247" s="23">
        <f t="shared" si="45"/>
        <v>0</v>
      </c>
      <c r="G247" s="28">
        <v>0</v>
      </c>
      <c r="H247" s="23">
        <f t="shared" si="46"/>
        <v>0</v>
      </c>
      <c r="I247" s="28">
        <v>0</v>
      </c>
      <c r="J247" s="23">
        <f t="shared" si="47"/>
        <v>0</v>
      </c>
      <c r="K247" s="28">
        <f t="shared" si="48"/>
        <v>0</v>
      </c>
      <c r="L247" s="23">
        <f t="shared" si="49"/>
        <v>0</v>
      </c>
      <c r="M247" s="5" t="s">
        <v>823</v>
      </c>
      <c r="N247" s="5" t="s">
        <v>823</v>
      </c>
      <c r="O247" s="5" t="s">
        <v>823</v>
      </c>
      <c r="P247" s="5" t="s">
        <v>823</v>
      </c>
      <c r="AU247" s="14"/>
      <c r="AV247" s="31">
        <v>0</v>
      </c>
      <c r="AW247" s="3" t="s">
        <v>823</v>
      </c>
    </row>
    <row r="248" spans="1:49" ht="28.5" customHeight="1" x14ac:dyDescent="0.3">
      <c r="A248" s="5" t="s">
        <v>823</v>
      </c>
      <c r="B248" s="5" t="s">
        <v>823</v>
      </c>
      <c r="C248" s="5" t="s">
        <v>823</v>
      </c>
      <c r="D248" s="23">
        <v>0</v>
      </c>
      <c r="E248" s="28">
        <v>0</v>
      </c>
      <c r="F248" s="23">
        <f t="shared" si="45"/>
        <v>0</v>
      </c>
      <c r="G248" s="28">
        <v>0</v>
      </c>
      <c r="H248" s="23">
        <f t="shared" si="46"/>
        <v>0</v>
      </c>
      <c r="I248" s="28">
        <v>0</v>
      </c>
      <c r="J248" s="23">
        <f t="shared" si="47"/>
        <v>0</v>
      </c>
      <c r="K248" s="28">
        <f t="shared" si="48"/>
        <v>0</v>
      </c>
      <c r="L248" s="23">
        <f t="shared" si="49"/>
        <v>0</v>
      </c>
      <c r="M248" s="5" t="s">
        <v>823</v>
      </c>
      <c r="N248" s="5" t="s">
        <v>823</v>
      </c>
      <c r="O248" s="5" t="s">
        <v>823</v>
      </c>
      <c r="P248" s="5" t="s">
        <v>823</v>
      </c>
      <c r="AU248" s="14"/>
      <c r="AV248" s="31">
        <v>0</v>
      </c>
      <c r="AW248" s="3" t="s">
        <v>823</v>
      </c>
    </row>
    <row r="249" spans="1:49" ht="28.5" customHeight="1" x14ac:dyDescent="0.3">
      <c r="A249" s="5" t="s">
        <v>823</v>
      </c>
      <c r="B249" s="5" t="s">
        <v>823</v>
      </c>
      <c r="C249" s="5" t="s">
        <v>823</v>
      </c>
      <c r="D249" s="23">
        <v>0</v>
      </c>
      <c r="E249" s="28">
        <v>0</v>
      </c>
      <c r="F249" s="23">
        <f t="shared" si="45"/>
        <v>0</v>
      </c>
      <c r="G249" s="28">
        <v>0</v>
      </c>
      <c r="H249" s="23">
        <f t="shared" si="46"/>
        <v>0</v>
      </c>
      <c r="I249" s="28">
        <v>0</v>
      </c>
      <c r="J249" s="23">
        <f t="shared" si="47"/>
        <v>0</v>
      </c>
      <c r="K249" s="28">
        <f t="shared" si="48"/>
        <v>0</v>
      </c>
      <c r="L249" s="23">
        <f t="shared" si="49"/>
        <v>0</v>
      </c>
      <c r="M249" s="5" t="s">
        <v>823</v>
      </c>
      <c r="N249" s="5" t="s">
        <v>823</v>
      </c>
      <c r="O249" s="5" t="s">
        <v>823</v>
      </c>
      <c r="P249" s="5" t="s">
        <v>823</v>
      </c>
      <c r="AU249" s="14"/>
      <c r="AV249" s="31">
        <v>0</v>
      </c>
      <c r="AW249" s="3" t="s">
        <v>823</v>
      </c>
    </row>
    <row r="250" spans="1:49" ht="28.5" customHeight="1" x14ac:dyDescent="0.3">
      <c r="A250" s="5" t="s">
        <v>823</v>
      </c>
      <c r="B250" s="5" t="s">
        <v>823</v>
      </c>
      <c r="C250" s="5" t="s">
        <v>823</v>
      </c>
      <c r="D250" s="23">
        <v>0</v>
      </c>
      <c r="E250" s="28">
        <v>0</v>
      </c>
      <c r="F250" s="23">
        <f t="shared" si="45"/>
        <v>0</v>
      </c>
      <c r="G250" s="28">
        <v>0</v>
      </c>
      <c r="H250" s="23">
        <f t="shared" si="46"/>
        <v>0</v>
      </c>
      <c r="I250" s="28">
        <v>0</v>
      </c>
      <c r="J250" s="23">
        <f t="shared" si="47"/>
        <v>0</v>
      </c>
      <c r="K250" s="28">
        <f t="shared" si="48"/>
        <v>0</v>
      </c>
      <c r="L250" s="23">
        <f t="shared" si="49"/>
        <v>0</v>
      </c>
      <c r="M250" s="5" t="s">
        <v>823</v>
      </c>
      <c r="N250" s="5" t="s">
        <v>823</v>
      </c>
      <c r="O250" s="5" t="s">
        <v>823</v>
      </c>
      <c r="P250" s="5" t="s">
        <v>823</v>
      </c>
      <c r="AU250" s="14"/>
      <c r="AV250" s="31">
        <v>0</v>
      </c>
      <c r="AW250" s="3" t="s">
        <v>823</v>
      </c>
    </row>
    <row r="251" spans="1:49" ht="28.5" customHeight="1" x14ac:dyDescent="0.3">
      <c r="A251" s="5" t="s">
        <v>823</v>
      </c>
      <c r="B251" s="5" t="s">
        <v>823</v>
      </c>
      <c r="C251" s="5" t="s">
        <v>823</v>
      </c>
      <c r="D251" s="23">
        <v>0</v>
      </c>
      <c r="E251" s="28">
        <v>0</v>
      </c>
      <c r="F251" s="23">
        <f t="shared" si="45"/>
        <v>0</v>
      </c>
      <c r="G251" s="28">
        <v>0</v>
      </c>
      <c r="H251" s="23">
        <f t="shared" si="46"/>
        <v>0</v>
      </c>
      <c r="I251" s="28">
        <v>0</v>
      </c>
      <c r="J251" s="23">
        <f t="shared" si="47"/>
        <v>0</v>
      </c>
      <c r="K251" s="28">
        <f t="shared" si="48"/>
        <v>0</v>
      </c>
      <c r="L251" s="23">
        <f t="shared" si="49"/>
        <v>0</v>
      </c>
      <c r="M251" s="5" t="s">
        <v>823</v>
      </c>
      <c r="N251" s="5" t="s">
        <v>823</v>
      </c>
      <c r="O251" s="5" t="s">
        <v>823</v>
      </c>
      <c r="P251" s="5" t="s">
        <v>823</v>
      </c>
      <c r="AU251" s="14"/>
      <c r="AV251" s="31">
        <v>0</v>
      </c>
      <c r="AW251" s="3" t="s">
        <v>823</v>
      </c>
    </row>
    <row r="252" spans="1:49" ht="28.5" customHeight="1" x14ac:dyDescent="0.3">
      <c r="A252" s="5" t="s">
        <v>823</v>
      </c>
      <c r="B252" s="5" t="s">
        <v>823</v>
      </c>
      <c r="C252" s="5" t="s">
        <v>823</v>
      </c>
      <c r="D252" s="23">
        <v>0</v>
      </c>
      <c r="E252" s="28">
        <v>0</v>
      </c>
      <c r="F252" s="23">
        <f t="shared" si="45"/>
        <v>0</v>
      </c>
      <c r="G252" s="28">
        <v>0</v>
      </c>
      <c r="H252" s="23">
        <f t="shared" si="46"/>
        <v>0</v>
      </c>
      <c r="I252" s="28">
        <v>0</v>
      </c>
      <c r="J252" s="23">
        <f t="shared" si="47"/>
        <v>0</v>
      </c>
      <c r="K252" s="28">
        <f t="shared" si="48"/>
        <v>0</v>
      </c>
      <c r="L252" s="23">
        <f t="shared" si="49"/>
        <v>0</v>
      </c>
      <c r="M252" s="5" t="s">
        <v>823</v>
      </c>
      <c r="N252" s="5" t="s">
        <v>823</v>
      </c>
      <c r="O252" s="5" t="s">
        <v>823</v>
      </c>
      <c r="P252" s="5" t="s">
        <v>823</v>
      </c>
      <c r="AU252" s="14"/>
      <c r="AV252" s="31">
        <v>0</v>
      </c>
      <c r="AW252" s="3" t="s">
        <v>823</v>
      </c>
    </row>
    <row r="253" spans="1:49" ht="28.5" customHeight="1" x14ac:dyDescent="0.3">
      <c r="A253" s="5" t="s">
        <v>823</v>
      </c>
      <c r="B253" s="5" t="s">
        <v>823</v>
      </c>
      <c r="C253" s="5" t="s">
        <v>823</v>
      </c>
      <c r="D253" s="23">
        <v>0</v>
      </c>
      <c r="E253" s="28">
        <v>0</v>
      </c>
      <c r="F253" s="23">
        <f t="shared" si="45"/>
        <v>0</v>
      </c>
      <c r="G253" s="28">
        <v>0</v>
      </c>
      <c r="H253" s="23">
        <f t="shared" si="46"/>
        <v>0</v>
      </c>
      <c r="I253" s="28">
        <v>0</v>
      </c>
      <c r="J253" s="23">
        <f t="shared" si="47"/>
        <v>0</v>
      </c>
      <c r="K253" s="28">
        <f t="shared" si="48"/>
        <v>0</v>
      </c>
      <c r="L253" s="23">
        <f t="shared" si="49"/>
        <v>0</v>
      </c>
      <c r="M253" s="5" t="s">
        <v>823</v>
      </c>
      <c r="N253" s="5" t="s">
        <v>823</v>
      </c>
      <c r="O253" s="5" t="s">
        <v>823</v>
      </c>
      <c r="P253" s="5" t="s">
        <v>823</v>
      </c>
      <c r="AU253" s="14"/>
      <c r="AV253" s="31">
        <v>0</v>
      </c>
      <c r="AW253" s="3" t="s">
        <v>823</v>
      </c>
    </row>
    <row r="254" spans="1:49" ht="28.5" customHeight="1" x14ac:dyDescent="0.3">
      <c r="A254" s="5" t="s">
        <v>141</v>
      </c>
      <c r="B254" s="5" t="s">
        <v>823</v>
      </c>
      <c r="C254" s="5" t="s">
        <v>823</v>
      </c>
      <c r="D254" s="5" t="s">
        <v>823</v>
      </c>
      <c r="E254" s="18">
        <v>0</v>
      </c>
      <c r="F254" s="23">
        <f>TRUNC(SUMIF(Q231:Q253, Q230,F231:F253),0)</f>
        <v>3200000</v>
      </c>
      <c r="G254" s="23">
        <v>0</v>
      </c>
      <c r="H254" s="23">
        <f>TRUNC(SUMIF(Q231:Q253, Q230,H231:H253),0)</f>
        <v>0</v>
      </c>
      <c r="I254" s="23">
        <v>0</v>
      </c>
      <c r="J254" s="23">
        <f>TRUNC(SUMIF(Q231:Q253, Q230,J231:J253),0)</f>
        <v>0</v>
      </c>
      <c r="K254" s="15" t="s">
        <v>823</v>
      </c>
      <c r="L254" s="23">
        <f>F254+H254+J254</f>
        <v>3200000</v>
      </c>
      <c r="M254" s="5"/>
      <c r="AW254" s="5" t="s">
        <v>823</v>
      </c>
    </row>
    <row r="255" spans="1:49" ht="28.5" customHeight="1" x14ac:dyDescent="0.3">
      <c r="A255" s="19" t="s">
        <v>616</v>
      </c>
      <c r="B255" s="5"/>
      <c r="C255" s="5"/>
      <c r="D255" s="5" t="s">
        <v>823</v>
      </c>
      <c r="E255" s="5" t="s">
        <v>823</v>
      </c>
      <c r="F255" s="5" t="s">
        <v>823</v>
      </c>
      <c r="G255" s="5" t="s">
        <v>823</v>
      </c>
      <c r="H255" s="5" t="s">
        <v>823</v>
      </c>
      <c r="I255" s="5" t="s">
        <v>823</v>
      </c>
      <c r="J255" s="5" t="s">
        <v>823</v>
      </c>
      <c r="K255" s="5" t="s">
        <v>823</v>
      </c>
      <c r="L255" s="5" t="s">
        <v>823</v>
      </c>
      <c r="M255" s="5" t="s">
        <v>823</v>
      </c>
      <c r="N255" s="2" t="s">
        <v>823</v>
      </c>
      <c r="Q255" s="14" t="s">
        <v>426</v>
      </c>
      <c r="R255" s="31">
        <v>2536194</v>
      </c>
      <c r="S255" s="31">
        <v>0</v>
      </c>
      <c r="AH255" s="14"/>
      <c r="AW255" s="5" t="s">
        <v>823</v>
      </c>
    </row>
    <row r="256" spans="1:49" ht="28.5" customHeight="1" x14ac:dyDescent="0.3">
      <c r="A256" s="5" t="s">
        <v>987</v>
      </c>
      <c r="B256" s="29" t="s">
        <v>1306</v>
      </c>
      <c r="C256" s="5" t="s">
        <v>1312</v>
      </c>
      <c r="D256" s="10">
        <v>0.2</v>
      </c>
      <c r="E256" s="28">
        <f>TRUNC(TRUNC(단가대비표!U100,0)*AV256/100,0)</f>
        <v>0</v>
      </c>
      <c r="F256" s="23">
        <f t="shared" ref="F256:F278" si="50">TRUNC(D256*E256,0)</f>
        <v>0</v>
      </c>
      <c r="G256" s="28">
        <f>TRUNC(TRUNC(단가대비표!V100,0)*AV256/100,0)</f>
        <v>0</v>
      </c>
      <c r="H256" s="23">
        <f t="shared" ref="H256:H278" si="51">TRUNC(D256*G256,0)</f>
        <v>0</v>
      </c>
      <c r="I256" s="28">
        <f>TRUNC(TRUNC(단가대비표!AE100,0)*AV256/100,0)</f>
        <v>168424</v>
      </c>
      <c r="J256" s="23">
        <f t="shared" ref="J256:J278" si="52">TRUNC(D256*I256,0)</f>
        <v>33684</v>
      </c>
      <c r="K256" s="28">
        <f t="shared" ref="K256:K278" si="53">TRUNC(E256+G256+I256,0)</f>
        <v>168424</v>
      </c>
      <c r="L256" s="23">
        <f t="shared" ref="L256:L278" si="54">TRUNC(F256+H256+J256,0)</f>
        <v>33684</v>
      </c>
      <c r="M256" s="29" t="s">
        <v>823</v>
      </c>
      <c r="N256" s="13" t="str">
        <f>HYPERLINK("#단가대비표!B100", "AAD150104100")</f>
        <v>AAD150104100</v>
      </c>
      <c r="O256" s="14" t="s">
        <v>823</v>
      </c>
      <c r="P256" s="14" t="s">
        <v>823</v>
      </c>
      <c r="Q256" s="14" t="s">
        <v>426</v>
      </c>
      <c r="R256" s="31">
        <v>2536194</v>
      </c>
      <c r="S256" s="31">
        <v>10</v>
      </c>
      <c r="T256" s="14" t="s">
        <v>510</v>
      </c>
      <c r="U256" s="14" t="s">
        <v>510</v>
      </c>
      <c r="V256" s="14" t="s">
        <v>904</v>
      </c>
      <c r="W256" s="14" t="s">
        <v>823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v>0</v>
      </c>
      <c r="AD256" s="31">
        <v>0</v>
      </c>
      <c r="AE256" s="31">
        <v>0</v>
      </c>
      <c r="AF256" s="31">
        <v>0</v>
      </c>
      <c r="AG256" s="31">
        <v>0</v>
      </c>
      <c r="AH256" s="31">
        <v>0</v>
      </c>
      <c r="AI256" s="31">
        <v>128</v>
      </c>
      <c r="AJ256" s="31">
        <v>0</v>
      </c>
      <c r="AK256" s="31">
        <v>0</v>
      </c>
      <c r="AL256" s="31">
        <v>0</v>
      </c>
      <c r="AM256" s="31">
        <v>0</v>
      </c>
      <c r="AN256" s="31">
        <v>0</v>
      </c>
      <c r="AO256" s="31">
        <v>0</v>
      </c>
      <c r="AP256" s="31">
        <v>0</v>
      </c>
      <c r="AQ256" s="31">
        <v>0</v>
      </c>
      <c r="AR256" s="31">
        <v>0</v>
      </c>
      <c r="AS256" s="31">
        <v>0</v>
      </c>
      <c r="AT256" s="31">
        <v>0</v>
      </c>
      <c r="AU256" s="14"/>
      <c r="AV256" s="31">
        <v>100</v>
      </c>
      <c r="AW256" s="3" t="s">
        <v>861</v>
      </c>
    </row>
    <row r="257" spans="1:49" ht="28.5" customHeight="1" x14ac:dyDescent="0.3">
      <c r="A257" s="5" t="s">
        <v>987</v>
      </c>
      <c r="B257" s="29" t="s">
        <v>879</v>
      </c>
      <c r="C257" s="5" t="s">
        <v>1312</v>
      </c>
      <c r="D257" s="10">
        <v>13.05</v>
      </c>
      <c r="E257" s="28">
        <f>TRUNC(TRUNC(단가대비표!U101,0)*AV257/100,0)</f>
        <v>0</v>
      </c>
      <c r="F257" s="23">
        <f t="shared" si="50"/>
        <v>0</v>
      </c>
      <c r="G257" s="28">
        <f>TRUNC(TRUNC(단가대비표!V101,0)*AV257/100,0)</f>
        <v>0</v>
      </c>
      <c r="H257" s="23">
        <f t="shared" si="51"/>
        <v>0</v>
      </c>
      <c r="I257" s="28">
        <f>TRUNC(TRUNC(단가대비표!AE101,0)*AV257/100,0)</f>
        <v>173154</v>
      </c>
      <c r="J257" s="23">
        <f t="shared" si="52"/>
        <v>2259659</v>
      </c>
      <c r="K257" s="28">
        <f t="shared" si="53"/>
        <v>173154</v>
      </c>
      <c r="L257" s="23">
        <f t="shared" si="54"/>
        <v>2259659</v>
      </c>
      <c r="M257" s="29" t="s">
        <v>823</v>
      </c>
      <c r="N257" s="13" t="str">
        <f>HYPERLINK("#단가대비표!B101", "AAD150105200")</f>
        <v>AAD150105200</v>
      </c>
      <c r="O257" s="14" t="s">
        <v>823</v>
      </c>
      <c r="P257" s="14" t="s">
        <v>823</v>
      </c>
      <c r="Q257" s="14" t="s">
        <v>426</v>
      </c>
      <c r="R257" s="31">
        <v>2536194</v>
      </c>
      <c r="S257" s="31">
        <v>20</v>
      </c>
      <c r="T257" s="14" t="s">
        <v>510</v>
      </c>
      <c r="U257" s="14" t="s">
        <v>510</v>
      </c>
      <c r="V257" s="14" t="s">
        <v>904</v>
      </c>
      <c r="W257" s="14" t="s">
        <v>823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v>0</v>
      </c>
      <c r="AD257" s="31">
        <v>0</v>
      </c>
      <c r="AE257" s="31">
        <v>0</v>
      </c>
      <c r="AF257" s="31">
        <v>0</v>
      </c>
      <c r="AG257" s="31">
        <v>0</v>
      </c>
      <c r="AH257" s="31">
        <v>0</v>
      </c>
      <c r="AI257" s="31">
        <v>128</v>
      </c>
      <c r="AJ257" s="31">
        <v>0</v>
      </c>
      <c r="AK257" s="31">
        <v>0</v>
      </c>
      <c r="AL257" s="31">
        <v>0</v>
      </c>
      <c r="AM257" s="31">
        <v>0</v>
      </c>
      <c r="AN257" s="31">
        <v>0</v>
      </c>
      <c r="AO257" s="31">
        <v>0</v>
      </c>
      <c r="AP257" s="31">
        <v>0</v>
      </c>
      <c r="AQ257" s="31">
        <v>0</v>
      </c>
      <c r="AR257" s="31">
        <v>0</v>
      </c>
      <c r="AS257" s="31">
        <v>0</v>
      </c>
      <c r="AT257" s="31">
        <v>0</v>
      </c>
      <c r="AU257" s="14"/>
      <c r="AV257" s="31">
        <v>100</v>
      </c>
      <c r="AW257" s="3" t="s">
        <v>301</v>
      </c>
    </row>
    <row r="258" spans="1:49" ht="28.5" customHeight="1" x14ac:dyDescent="0.3">
      <c r="A258" s="5" t="s">
        <v>951</v>
      </c>
      <c r="B258" s="29" t="s">
        <v>520</v>
      </c>
      <c r="C258" s="5" t="s">
        <v>80</v>
      </c>
      <c r="D258" s="10">
        <v>20.149999999999999</v>
      </c>
      <c r="E258" s="28">
        <f>TRUNC(TRUNC(단가대비표!U102,0)*AV258/100,0)</f>
        <v>0</v>
      </c>
      <c r="F258" s="23">
        <f t="shared" si="50"/>
        <v>0</v>
      </c>
      <c r="G258" s="28">
        <f>TRUNC(TRUNC(단가대비표!V102,0)*AV258/100,0)</f>
        <v>0</v>
      </c>
      <c r="H258" s="23">
        <f t="shared" si="51"/>
        <v>0</v>
      </c>
      <c r="I258" s="28">
        <f>TRUNC(TRUNC(단가대비표!AE102,0)*AV258/100,0)</f>
        <v>50000</v>
      </c>
      <c r="J258" s="23">
        <f t="shared" si="52"/>
        <v>1007500</v>
      </c>
      <c r="K258" s="28">
        <f t="shared" si="53"/>
        <v>50000</v>
      </c>
      <c r="L258" s="23">
        <f t="shared" si="54"/>
        <v>1007500</v>
      </c>
      <c r="M258" s="29" t="s">
        <v>823</v>
      </c>
      <c r="N258" s="13" t="str">
        <f>HYPERLINK("#단가대비표!B102", "AAD150105212")</f>
        <v>AAD150105212</v>
      </c>
      <c r="O258" s="14" t="s">
        <v>823</v>
      </c>
      <c r="P258" s="14" t="s">
        <v>823</v>
      </c>
      <c r="Q258" s="14" t="s">
        <v>426</v>
      </c>
      <c r="R258" s="31">
        <v>2536194</v>
      </c>
      <c r="S258" s="31">
        <v>30</v>
      </c>
      <c r="T258" s="14" t="s">
        <v>510</v>
      </c>
      <c r="U258" s="14" t="s">
        <v>510</v>
      </c>
      <c r="V258" s="14" t="s">
        <v>904</v>
      </c>
      <c r="W258" s="14" t="s">
        <v>823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v>0</v>
      </c>
      <c r="AD258" s="31">
        <v>0</v>
      </c>
      <c r="AE258" s="31">
        <v>0</v>
      </c>
      <c r="AF258" s="31">
        <v>0</v>
      </c>
      <c r="AG258" s="31">
        <v>0</v>
      </c>
      <c r="AH258" s="31">
        <v>0</v>
      </c>
      <c r="AI258" s="31">
        <v>128</v>
      </c>
      <c r="AJ258" s="31">
        <v>0</v>
      </c>
      <c r="AK258" s="31">
        <v>0</v>
      </c>
      <c r="AL258" s="31">
        <v>0</v>
      </c>
      <c r="AM258" s="31">
        <v>0</v>
      </c>
      <c r="AN258" s="31">
        <v>0</v>
      </c>
      <c r="AO258" s="31">
        <v>0</v>
      </c>
      <c r="AP258" s="31">
        <v>0</v>
      </c>
      <c r="AQ258" s="31">
        <v>0</v>
      </c>
      <c r="AR258" s="31">
        <v>0</v>
      </c>
      <c r="AS258" s="31">
        <v>0</v>
      </c>
      <c r="AT258" s="31">
        <v>0</v>
      </c>
      <c r="AU258" s="14"/>
      <c r="AV258" s="31">
        <v>100</v>
      </c>
      <c r="AW258" s="3" t="s">
        <v>585</v>
      </c>
    </row>
    <row r="259" spans="1:49" ht="28.5" customHeight="1" x14ac:dyDescent="0.3">
      <c r="A259" s="5" t="s">
        <v>1293</v>
      </c>
      <c r="B259" s="29" t="s">
        <v>714</v>
      </c>
      <c r="C259" s="5" t="s">
        <v>1154</v>
      </c>
      <c r="D259" s="10">
        <v>15.26</v>
      </c>
      <c r="E259" s="28">
        <f>TRUNC(TRUNC(단가대비표!U104,0)*AV259/100,0)</f>
        <v>0</v>
      </c>
      <c r="F259" s="23">
        <f t="shared" si="50"/>
        <v>0</v>
      </c>
      <c r="G259" s="28">
        <f>TRUNC(TRUNC(단가대비표!V104,0)*AV259/100,0)</f>
        <v>0</v>
      </c>
      <c r="H259" s="23">
        <f t="shared" si="51"/>
        <v>0</v>
      </c>
      <c r="I259" s="28">
        <f>TRUNC(TRUNC(단가대비표!AE104,0)*AV259/100,0)</f>
        <v>15990</v>
      </c>
      <c r="J259" s="23">
        <f t="shared" si="52"/>
        <v>244007</v>
      </c>
      <c r="K259" s="28">
        <f t="shared" si="53"/>
        <v>15990</v>
      </c>
      <c r="L259" s="23">
        <f t="shared" si="54"/>
        <v>244007</v>
      </c>
      <c r="M259" s="29" t="s">
        <v>823</v>
      </c>
      <c r="N259" s="13" t="str">
        <f>HYPERLINK("#단가대비표!B104", "AAD151101010")</f>
        <v>AAD151101010</v>
      </c>
      <c r="O259" s="14" t="s">
        <v>823</v>
      </c>
      <c r="P259" s="14" t="s">
        <v>823</v>
      </c>
      <c r="Q259" s="14" t="s">
        <v>426</v>
      </c>
      <c r="R259" s="31">
        <v>2536194</v>
      </c>
      <c r="S259" s="31">
        <v>40</v>
      </c>
      <c r="T259" s="14" t="s">
        <v>510</v>
      </c>
      <c r="U259" s="14" t="s">
        <v>510</v>
      </c>
      <c r="V259" s="14" t="s">
        <v>904</v>
      </c>
      <c r="W259" s="14" t="s">
        <v>823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v>0</v>
      </c>
      <c r="AD259" s="31">
        <v>0</v>
      </c>
      <c r="AE259" s="31">
        <v>0</v>
      </c>
      <c r="AF259" s="31">
        <v>0</v>
      </c>
      <c r="AG259" s="31">
        <v>0</v>
      </c>
      <c r="AH259" s="31">
        <v>0</v>
      </c>
      <c r="AI259" s="31">
        <v>128</v>
      </c>
      <c r="AJ259" s="31">
        <v>0</v>
      </c>
      <c r="AK259" s="31">
        <v>0</v>
      </c>
      <c r="AL259" s="31">
        <v>0</v>
      </c>
      <c r="AM259" s="31">
        <v>0</v>
      </c>
      <c r="AN259" s="31">
        <v>0</v>
      </c>
      <c r="AO259" s="31">
        <v>0</v>
      </c>
      <c r="AP259" s="31">
        <v>0</v>
      </c>
      <c r="AQ259" s="31">
        <v>0</v>
      </c>
      <c r="AR259" s="31">
        <v>0</v>
      </c>
      <c r="AS259" s="31">
        <v>0</v>
      </c>
      <c r="AT259" s="31">
        <v>0</v>
      </c>
      <c r="AU259" s="14"/>
      <c r="AV259" s="31">
        <v>100</v>
      </c>
      <c r="AW259" s="3" t="s">
        <v>1243</v>
      </c>
    </row>
    <row r="260" spans="1:49" ht="28.5" customHeight="1" x14ac:dyDescent="0.3">
      <c r="A260" s="5" t="s">
        <v>823</v>
      </c>
      <c r="B260" s="5" t="s">
        <v>823</v>
      </c>
      <c r="C260" s="5" t="s">
        <v>823</v>
      </c>
      <c r="D260" s="23">
        <v>0</v>
      </c>
      <c r="E260" s="28">
        <v>0</v>
      </c>
      <c r="F260" s="23">
        <f t="shared" si="50"/>
        <v>0</v>
      </c>
      <c r="G260" s="28">
        <v>0</v>
      </c>
      <c r="H260" s="23">
        <f t="shared" si="51"/>
        <v>0</v>
      </c>
      <c r="I260" s="28">
        <v>0</v>
      </c>
      <c r="J260" s="23">
        <f t="shared" si="52"/>
        <v>0</v>
      </c>
      <c r="K260" s="28">
        <f t="shared" si="53"/>
        <v>0</v>
      </c>
      <c r="L260" s="23">
        <f t="shared" si="54"/>
        <v>0</v>
      </c>
      <c r="M260" s="5" t="s">
        <v>823</v>
      </c>
      <c r="N260" s="5" t="s">
        <v>823</v>
      </c>
      <c r="O260" s="5" t="s">
        <v>823</v>
      </c>
      <c r="P260" s="5" t="s">
        <v>823</v>
      </c>
      <c r="AU260" s="14"/>
      <c r="AV260" s="31">
        <v>0</v>
      </c>
      <c r="AW260" s="3" t="s">
        <v>823</v>
      </c>
    </row>
    <row r="261" spans="1:49" ht="28.5" customHeight="1" x14ac:dyDescent="0.3">
      <c r="A261" s="5" t="s">
        <v>823</v>
      </c>
      <c r="B261" s="5" t="s">
        <v>823</v>
      </c>
      <c r="C261" s="5" t="s">
        <v>823</v>
      </c>
      <c r="D261" s="23">
        <v>0</v>
      </c>
      <c r="E261" s="28">
        <v>0</v>
      </c>
      <c r="F261" s="23">
        <f t="shared" si="50"/>
        <v>0</v>
      </c>
      <c r="G261" s="28">
        <v>0</v>
      </c>
      <c r="H261" s="23">
        <f t="shared" si="51"/>
        <v>0</v>
      </c>
      <c r="I261" s="28">
        <v>0</v>
      </c>
      <c r="J261" s="23">
        <f t="shared" si="52"/>
        <v>0</v>
      </c>
      <c r="K261" s="28">
        <f t="shared" si="53"/>
        <v>0</v>
      </c>
      <c r="L261" s="23">
        <f t="shared" si="54"/>
        <v>0</v>
      </c>
      <c r="M261" s="5" t="s">
        <v>823</v>
      </c>
      <c r="N261" s="5" t="s">
        <v>823</v>
      </c>
      <c r="O261" s="5" t="s">
        <v>823</v>
      </c>
      <c r="P261" s="5" t="s">
        <v>823</v>
      </c>
      <c r="AU261" s="14"/>
      <c r="AV261" s="31">
        <v>0</v>
      </c>
      <c r="AW261" s="3" t="s">
        <v>823</v>
      </c>
    </row>
    <row r="262" spans="1:49" ht="28.5" customHeight="1" x14ac:dyDescent="0.3">
      <c r="A262" s="5" t="s">
        <v>823</v>
      </c>
      <c r="B262" s="5" t="s">
        <v>823</v>
      </c>
      <c r="C262" s="5" t="s">
        <v>823</v>
      </c>
      <c r="D262" s="23">
        <v>0</v>
      </c>
      <c r="E262" s="28">
        <v>0</v>
      </c>
      <c r="F262" s="23">
        <f t="shared" si="50"/>
        <v>0</v>
      </c>
      <c r="G262" s="28">
        <v>0</v>
      </c>
      <c r="H262" s="23">
        <f t="shared" si="51"/>
        <v>0</v>
      </c>
      <c r="I262" s="28">
        <v>0</v>
      </c>
      <c r="J262" s="23">
        <f t="shared" si="52"/>
        <v>0</v>
      </c>
      <c r="K262" s="28">
        <f t="shared" si="53"/>
        <v>0</v>
      </c>
      <c r="L262" s="23">
        <f t="shared" si="54"/>
        <v>0</v>
      </c>
      <c r="M262" s="5" t="s">
        <v>823</v>
      </c>
      <c r="N262" s="5" t="s">
        <v>823</v>
      </c>
      <c r="O262" s="5" t="s">
        <v>823</v>
      </c>
      <c r="P262" s="5" t="s">
        <v>823</v>
      </c>
      <c r="AU262" s="14"/>
      <c r="AV262" s="31">
        <v>0</v>
      </c>
      <c r="AW262" s="3" t="s">
        <v>823</v>
      </c>
    </row>
    <row r="263" spans="1:49" ht="28.5" customHeight="1" x14ac:dyDescent="0.3">
      <c r="A263" s="5" t="s">
        <v>823</v>
      </c>
      <c r="B263" s="5" t="s">
        <v>823</v>
      </c>
      <c r="C263" s="5" t="s">
        <v>823</v>
      </c>
      <c r="D263" s="23">
        <v>0</v>
      </c>
      <c r="E263" s="28">
        <v>0</v>
      </c>
      <c r="F263" s="23">
        <f t="shared" si="50"/>
        <v>0</v>
      </c>
      <c r="G263" s="28">
        <v>0</v>
      </c>
      <c r="H263" s="23">
        <f t="shared" si="51"/>
        <v>0</v>
      </c>
      <c r="I263" s="28">
        <v>0</v>
      </c>
      <c r="J263" s="23">
        <f t="shared" si="52"/>
        <v>0</v>
      </c>
      <c r="K263" s="28">
        <f t="shared" si="53"/>
        <v>0</v>
      </c>
      <c r="L263" s="23">
        <f t="shared" si="54"/>
        <v>0</v>
      </c>
      <c r="M263" s="5" t="s">
        <v>823</v>
      </c>
      <c r="N263" s="5" t="s">
        <v>823</v>
      </c>
      <c r="O263" s="5" t="s">
        <v>823</v>
      </c>
      <c r="P263" s="5" t="s">
        <v>823</v>
      </c>
      <c r="AU263" s="14"/>
      <c r="AV263" s="31">
        <v>0</v>
      </c>
      <c r="AW263" s="3" t="s">
        <v>823</v>
      </c>
    </row>
    <row r="264" spans="1:49" ht="28.5" customHeight="1" x14ac:dyDescent="0.3">
      <c r="A264" s="5" t="s">
        <v>823</v>
      </c>
      <c r="B264" s="5" t="s">
        <v>823</v>
      </c>
      <c r="C264" s="5" t="s">
        <v>823</v>
      </c>
      <c r="D264" s="23">
        <v>0</v>
      </c>
      <c r="E264" s="28">
        <v>0</v>
      </c>
      <c r="F264" s="23">
        <f t="shared" si="50"/>
        <v>0</v>
      </c>
      <c r="G264" s="28">
        <v>0</v>
      </c>
      <c r="H264" s="23">
        <f t="shared" si="51"/>
        <v>0</v>
      </c>
      <c r="I264" s="28">
        <v>0</v>
      </c>
      <c r="J264" s="23">
        <f t="shared" si="52"/>
        <v>0</v>
      </c>
      <c r="K264" s="28">
        <f t="shared" si="53"/>
        <v>0</v>
      </c>
      <c r="L264" s="23">
        <f t="shared" si="54"/>
        <v>0</v>
      </c>
      <c r="M264" s="5" t="s">
        <v>823</v>
      </c>
      <c r="N264" s="5" t="s">
        <v>823</v>
      </c>
      <c r="O264" s="5" t="s">
        <v>823</v>
      </c>
      <c r="P264" s="5" t="s">
        <v>823</v>
      </c>
      <c r="AU264" s="14"/>
      <c r="AV264" s="31">
        <v>0</v>
      </c>
      <c r="AW264" s="3" t="s">
        <v>823</v>
      </c>
    </row>
    <row r="265" spans="1:49" ht="28.5" customHeight="1" x14ac:dyDescent="0.3">
      <c r="A265" s="5" t="s">
        <v>823</v>
      </c>
      <c r="B265" s="5" t="s">
        <v>823</v>
      </c>
      <c r="C265" s="5" t="s">
        <v>823</v>
      </c>
      <c r="D265" s="23">
        <v>0</v>
      </c>
      <c r="E265" s="28">
        <v>0</v>
      </c>
      <c r="F265" s="23">
        <f t="shared" si="50"/>
        <v>0</v>
      </c>
      <c r="G265" s="28">
        <v>0</v>
      </c>
      <c r="H265" s="23">
        <f t="shared" si="51"/>
        <v>0</v>
      </c>
      <c r="I265" s="28">
        <v>0</v>
      </c>
      <c r="J265" s="23">
        <f t="shared" si="52"/>
        <v>0</v>
      </c>
      <c r="K265" s="28">
        <f t="shared" si="53"/>
        <v>0</v>
      </c>
      <c r="L265" s="23">
        <f t="shared" si="54"/>
        <v>0</v>
      </c>
      <c r="M265" s="5" t="s">
        <v>823</v>
      </c>
      <c r="N265" s="5" t="s">
        <v>823</v>
      </c>
      <c r="O265" s="5" t="s">
        <v>823</v>
      </c>
      <c r="P265" s="5" t="s">
        <v>823</v>
      </c>
      <c r="AU265" s="14"/>
      <c r="AV265" s="31">
        <v>0</v>
      </c>
      <c r="AW265" s="3" t="s">
        <v>823</v>
      </c>
    </row>
    <row r="266" spans="1:49" ht="28.5" customHeight="1" x14ac:dyDescent="0.3">
      <c r="A266" s="5" t="s">
        <v>823</v>
      </c>
      <c r="B266" s="5" t="s">
        <v>823</v>
      </c>
      <c r="C266" s="5" t="s">
        <v>823</v>
      </c>
      <c r="D266" s="23">
        <v>0</v>
      </c>
      <c r="E266" s="28">
        <v>0</v>
      </c>
      <c r="F266" s="23">
        <f t="shared" si="50"/>
        <v>0</v>
      </c>
      <c r="G266" s="28">
        <v>0</v>
      </c>
      <c r="H266" s="23">
        <f t="shared" si="51"/>
        <v>0</v>
      </c>
      <c r="I266" s="28">
        <v>0</v>
      </c>
      <c r="J266" s="23">
        <f t="shared" si="52"/>
        <v>0</v>
      </c>
      <c r="K266" s="28">
        <f t="shared" si="53"/>
        <v>0</v>
      </c>
      <c r="L266" s="23">
        <f t="shared" si="54"/>
        <v>0</v>
      </c>
      <c r="M266" s="5" t="s">
        <v>823</v>
      </c>
      <c r="N266" s="5" t="s">
        <v>823</v>
      </c>
      <c r="O266" s="5" t="s">
        <v>823</v>
      </c>
      <c r="P266" s="5" t="s">
        <v>823</v>
      </c>
      <c r="AU266" s="14"/>
      <c r="AV266" s="31">
        <v>0</v>
      </c>
      <c r="AW266" s="3" t="s">
        <v>823</v>
      </c>
    </row>
    <row r="267" spans="1:49" ht="28.5" customHeight="1" x14ac:dyDescent="0.3">
      <c r="A267" s="5" t="s">
        <v>823</v>
      </c>
      <c r="B267" s="5" t="s">
        <v>823</v>
      </c>
      <c r="C267" s="5" t="s">
        <v>823</v>
      </c>
      <c r="D267" s="23">
        <v>0</v>
      </c>
      <c r="E267" s="28">
        <v>0</v>
      </c>
      <c r="F267" s="23">
        <f t="shared" si="50"/>
        <v>0</v>
      </c>
      <c r="G267" s="28">
        <v>0</v>
      </c>
      <c r="H267" s="23">
        <f t="shared" si="51"/>
        <v>0</v>
      </c>
      <c r="I267" s="28">
        <v>0</v>
      </c>
      <c r="J267" s="23">
        <f t="shared" si="52"/>
        <v>0</v>
      </c>
      <c r="K267" s="28">
        <f t="shared" si="53"/>
        <v>0</v>
      </c>
      <c r="L267" s="23">
        <f t="shared" si="54"/>
        <v>0</v>
      </c>
      <c r="M267" s="5" t="s">
        <v>823</v>
      </c>
      <c r="N267" s="5" t="s">
        <v>823</v>
      </c>
      <c r="O267" s="5" t="s">
        <v>823</v>
      </c>
      <c r="P267" s="5" t="s">
        <v>823</v>
      </c>
      <c r="AU267" s="14"/>
      <c r="AV267" s="31">
        <v>0</v>
      </c>
      <c r="AW267" s="3" t="s">
        <v>823</v>
      </c>
    </row>
    <row r="268" spans="1:49" ht="28.5" customHeight="1" x14ac:dyDescent="0.3">
      <c r="A268" s="5" t="s">
        <v>823</v>
      </c>
      <c r="B268" s="5" t="s">
        <v>823</v>
      </c>
      <c r="C268" s="5" t="s">
        <v>823</v>
      </c>
      <c r="D268" s="23">
        <v>0</v>
      </c>
      <c r="E268" s="28">
        <v>0</v>
      </c>
      <c r="F268" s="23">
        <f t="shared" si="50"/>
        <v>0</v>
      </c>
      <c r="G268" s="28">
        <v>0</v>
      </c>
      <c r="H268" s="23">
        <f t="shared" si="51"/>
        <v>0</v>
      </c>
      <c r="I268" s="28">
        <v>0</v>
      </c>
      <c r="J268" s="23">
        <f t="shared" si="52"/>
        <v>0</v>
      </c>
      <c r="K268" s="28">
        <f t="shared" si="53"/>
        <v>0</v>
      </c>
      <c r="L268" s="23">
        <f t="shared" si="54"/>
        <v>0</v>
      </c>
      <c r="M268" s="5" t="s">
        <v>823</v>
      </c>
      <c r="N268" s="5" t="s">
        <v>823</v>
      </c>
      <c r="O268" s="5" t="s">
        <v>823</v>
      </c>
      <c r="P268" s="5" t="s">
        <v>823</v>
      </c>
      <c r="AU268" s="14"/>
      <c r="AV268" s="31">
        <v>0</v>
      </c>
      <c r="AW268" s="3" t="s">
        <v>823</v>
      </c>
    </row>
    <row r="269" spans="1:49" ht="28.5" customHeight="1" x14ac:dyDescent="0.3">
      <c r="A269" s="5" t="s">
        <v>823</v>
      </c>
      <c r="B269" s="5" t="s">
        <v>823</v>
      </c>
      <c r="C269" s="5" t="s">
        <v>823</v>
      </c>
      <c r="D269" s="23">
        <v>0</v>
      </c>
      <c r="E269" s="28">
        <v>0</v>
      </c>
      <c r="F269" s="23">
        <f t="shared" si="50"/>
        <v>0</v>
      </c>
      <c r="G269" s="28">
        <v>0</v>
      </c>
      <c r="H269" s="23">
        <f t="shared" si="51"/>
        <v>0</v>
      </c>
      <c r="I269" s="28">
        <v>0</v>
      </c>
      <c r="J269" s="23">
        <f t="shared" si="52"/>
        <v>0</v>
      </c>
      <c r="K269" s="28">
        <f t="shared" si="53"/>
        <v>0</v>
      </c>
      <c r="L269" s="23">
        <f t="shared" si="54"/>
        <v>0</v>
      </c>
      <c r="M269" s="5" t="s">
        <v>823</v>
      </c>
      <c r="N269" s="5" t="s">
        <v>823</v>
      </c>
      <c r="O269" s="5" t="s">
        <v>823</v>
      </c>
      <c r="P269" s="5" t="s">
        <v>823</v>
      </c>
      <c r="AU269" s="14"/>
      <c r="AV269" s="31">
        <v>0</v>
      </c>
      <c r="AW269" s="3" t="s">
        <v>823</v>
      </c>
    </row>
    <row r="270" spans="1:49" ht="28.5" customHeight="1" x14ac:dyDescent="0.3">
      <c r="A270" s="5" t="s">
        <v>823</v>
      </c>
      <c r="B270" s="5" t="s">
        <v>823</v>
      </c>
      <c r="C270" s="5" t="s">
        <v>823</v>
      </c>
      <c r="D270" s="23">
        <v>0</v>
      </c>
      <c r="E270" s="28">
        <v>0</v>
      </c>
      <c r="F270" s="23">
        <f t="shared" si="50"/>
        <v>0</v>
      </c>
      <c r="G270" s="28">
        <v>0</v>
      </c>
      <c r="H270" s="23">
        <f t="shared" si="51"/>
        <v>0</v>
      </c>
      <c r="I270" s="28">
        <v>0</v>
      </c>
      <c r="J270" s="23">
        <f t="shared" si="52"/>
        <v>0</v>
      </c>
      <c r="K270" s="28">
        <f t="shared" si="53"/>
        <v>0</v>
      </c>
      <c r="L270" s="23">
        <f t="shared" si="54"/>
        <v>0</v>
      </c>
      <c r="M270" s="5" t="s">
        <v>823</v>
      </c>
      <c r="N270" s="5" t="s">
        <v>823</v>
      </c>
      <c r="O270" s="5" t="s">
        <v>823</v>
      </c>
      <c r="P270" s="5" t="s">
        <v>823</v>
      </c>
      <c r="AU270" s="14"/>
      <c r="AV270" s="31">
        <v>0</v>
      </c>
      <c r="AW270" s="3" t="s">
        <v>823</v>
      </c>
    </row>
    <row r="271" spans="1:49" ht="28.5" customHeight="1" x14ac:dyDescent="0.3">
      <c r="A271" s="5" t="s">
        <v>823</v>
      </c>
      <c r="B271" s="5" t="s">
        <v>823</v>
      </c>
      <c r="C271" s="5" t="s">
        <v>823</v>
      </c>
      <c r="D271" s="23">
        <v>0</v>
      </c>
      <c r="E271" s="28">
        <v>0</v>
      </c>
      <c r="F271" s="23">
        <f t="shared" si="50"/>
        <v>0</v>
      </c>
      <c r="G271" s="28">
        <v>0</v>
      </c>
      <c r="H271" s="23">
        <f t="shared" si="51"/>
        <v>0</v>
      </c>
      <c r="I271" s="28">
        <v>0</v>
      </c>
      <c r="J271" s="23">
        <f t="shared" si="52"/>
        <v>0</v>
      </c>
      <c r="K271" s="28">
        <f t="shared" si="53"/>
        <v>0</v>
      </c>
      <c r="L271" s="23">
        <f t="shared" si="54"/>
        <v>0</v>
      </c>
      <c r="M271" s="5" t="s">
        <v>823</v>
      </c>
      <c r="N271" s="5" t="s">
        <v>823</v>
      </c>
      <c r="O271" s="5" t="s">
        <v>823</v>
      </c>
      <c r="P271" s="5" t="s">
        <v>823</v>
      </c>
      <c r="AU271" s="14"/>
      <c r="AV271" s="31">
        <v>0</v>
      </c>
      <c r="AW271" s="3" t="s">
        <v>823</v>
      </c>
    </row>
    <row r="272" spans="1:49" ht="28.5" customHeight="1" x14ac:dyDescent="0.3">
      <c r="A272" s="5" t="s">
        <v>823</v>
      </c>
      <c r="B272" s="5" t="s">
        <v>823</v>
      </c>
      <c r="C272" s="5" t="s">
        <v>823</v>
      </c>
      <c r="D272" s="23">
        <v>0</v>
      </c>
      <c r="E272" s="28">
        <v>0</v>
      </c>
      <c r="F272" s="23">
        <f t="shared" si="50"/>
        <v>0</v>
      </c>
      <c r="G272" s="28">
        <v>0</v>
      </c>
      <c r="H272" s="23">
        <f t="shared" si="51"/>
        <v>0</v>
      </c>
      <c r="I272" s="28">
        <v>0</v>
      </c>
      <c r="J272" s="23">
        <f t="shared" si="52"/>
        <v>0</v>
      </c>
      <c r="K272" s="28">
        <f t="shared" si="53"/>
        <v>0</v>
      </c>
      <c r="L272" s="23">
        <f t="shared" si="54"/>
        <v>0</v>
      </c>
      <c r="M272" s="5" t="s">
        <v>823</v>
      </c>
      <c r="N272" s="5" t="s">
        <v>823</v>
      </c>
      <c r="O272" s="5" t="s">
        <v>823</v>
      </c>
      <c r="P272" s="5" t="s">
        <v>823</v>
      </c>
      <c r="AU272" s="14"/>
      <c r="AV272" s="31">
        <v>0</v>
      </c>
      <c r="AW272" s="3" t="s">
        <v>823</v>
      </c>
    </row>
    <row r="273" spans="1:49" ht="28.5" customHeight="1" x14ac:dyDescent="0.3">
      <c r="A273" s="5" t="s">
        <v>823</v>
      </c>
      <c r="B273" s="5" t="s">
        <v>823</v>
      </c>
      <c r="C273" s="5" t="s">
        <v>823</v>
      </c>
      <c r="D273" s="23">
        <v>0</v>
      </c>
      <c r="E273" s="28">
        <v>0</v>
      </c>
      <c r="F273" s="23">
        <f t="shared" si="50"/>
        <v>0</v>
      </c>
      <c r="G273" s="28">
        <v>0</v>
      </c>
      <c r="H273" s="23">
        <f t="shared" si="51"/>
        <v>0</v>
      </c>
      <c r="I273" s="28">
        <v>0</v>
      </c>
      <c r="J273" s="23">
        <f t="shared" si="52"/>
        <v>0</v>
      </c>
      <c r="K273" s="28">
        <f t="shared" si="53"/>
        <v>0</v>
      </c>
      <c r="L273" s="23">
        <f t="shared" si="54"/>
        <v>0</v>
      </c>
      <c r="M273" s="5" t="s">
        <v>823</v>
      </c>
      <c r="N273" s="5" t="s">
        <v>823</v>
      </c>
      <c r="O273" s="5" t="s">
        <v>823</v>
      </c>
      <c r="P273" s="5" t="s">
        <v>823</v>
      </c>
      <c r="AU273" s="14"/>
      <c r="AV273" s="31">
        <v>0</v>
      </c>
      <c r="AW273" s="3" t="s">
        <v>823</v>
      </c>
    </row>
    <row r="274" spans="1:49" ht="28.5" customHeight="1" x14ac:dyDescent="0.3">
      <c r="A274" s="5" t="s">
        <v>823</v>
      </c>
      <c r="B274" s="5" t="s">
        <v>823</v>
      </c>
      <c r="C274" s="5" t="s">
        <v>823</v>
      </c>
      <c r="D274" s="23">
        <v>0</v>
      </c>
      <c r="E274" s="28">
        <v>0</v>
      </c>
      <c r="F274" s="23">
        <f t="shared" si="50"/>
        <v>0</v>
      </c>
      <c r="G274" s="28">
        <v>0</v>
      </c>
      <c r="H274" s="23">
        <f t="shared" si="51"/>
        <v>0</v>
      </c>
      <c r="I274" s="28">
        <v>0</v>
      </c>
      <c r="J274" s="23">
        <f t="shared" si="52"/>
        <v>0</v>
      </c>
      <c r="K274" s="28">
        <f t="shared" si="53"/>
        <v>0</v>
      </c>
      <c r="L274" s="23">
        <f t="shared" si="54"/>
        <v>0</v>
      </c>
      <c r="M274" s="5" t="s">
        <v>823</v>
      </c>
      <c r="N274" s="5" t="s">
        <v>823</v>
      </c>
      <c r="O274" s="5" t="s">
        <v>823</v>
      </c>
      <c r="P274" s="5" t="s">
        <v>823</v>
      </c>
      <c r="AU274" s="14"/>
      <c r="AV274" s="31">
        <v>0</v>
      </c>
      <c r="AW274" s="3" t="s">
        <v>823</v>
      </c>
    </row>
    <row r="275" spans="1:49" ht="28.5" customHeight="1" x14ac:dyDescent="0.3">
      <c r="A275" s="5" t="s">
        <v>823</v>
      </c>
      <c r="B275" s="5" t="s">
        <v>823</v>
      </c>
      <c r="C275" s="5" t="s">
        <v>823</v>
      </c>
      <c r="D275" s="23">
        <v>0</v>
      </c>
      <c r="E275" s="28">
        <v>0</v>
      </c>
      <c r="F275" s="23">
        <f t="shared" si="50"/>
        <v>0</v>
      </c>
      <c r="G275" s="28">
        <v>0</v>
      </c>
      <c r="H275" s="23">
        <f t="shared" si="51"/>
        <v>0</v>
      </c>
      <c r="I275" s="28">
        <v>0</v>
      </c>
      <c r="J275" s="23">
        <f t="shared" si="52"/>
        <v>0</v>
      </c>
      <c r="K275" s="28">
        <f t="shared" si="53"/>
        <v>0</v>
      </c>
      <c r="L275" s="23">
        <f t="shared" si="54"/>
        <v>0</v>
      </c>
      <c r="M275" s="5" t="s">
        <v>823</v>
      </c>
      <c r="N275" s="5" t="s">
        <v>823</v>
      </c>
      <c r="O275" s="5" t="s">
        <v>823</v>
      </c>
      <c r="P275" s="5" t="s">
        <v>823</v>
      </c>
      <c r="AU275" s="14"/>
      <c r="AV275" s="31">
        <v>0</v>
      </c>
      <c r="AW275" s="3" t="s">
        <v>823</v>
      </c>
    </row>
    <row r="276" spans="1:49" ht="28.5" customHeight="1" x14ac:dyDescent="0.3">
      <c r="A276" s="5" t="s">
        <v>823</v>
      </c>
      <c r="B276" s="5" t="s">
        <v>823</v>
      </c>
      <c r="C276" s="5" t="s">
        <v>823</v>
      </c>
      <c r="D276" s="23">
        <v>0</v>
      </c>
      <c r="E276" s="28">
        <v>0</v>
      </c>
      <c r="F276" s="23">
        <f t="shared" si="50"/>
        <v>0</v>
      </c>
      <c r="G276" s="28">
        <v>0</v>
      </c>
      <c r="H276" s="23">
        <f t="shared" si="51"/>
        <v>0</v>
      </c>
      <c r="I276" s="28">
        <v>0</v>
      </c>
      <c r="J276" s="23">
        <f t="shared" si="52"/>
        <v>0</v>
      </c>
      <c r="K276" s="28">
        <f t="shared" si="53"/>
        <v>0</v>
      </c>
      <c r="L276" s="23">
        <f t="shared" si="54"/>
        <v>0</v>
      </c>
      <c r="M276" s="5" t="s">
        <v>823</v>
      </c>
      <c r="N276" s="5" t="s">
        <v>823</v>
      </c>
      <c r="O276" s="5" t="s">
        <v>823</v>
      </c>
      <c r="P276" s="5" t="s">
        <v>823</v>
      </c>
      <c r="AU276" s="14"/>
      <c r="AV276" s="31">
        <v>0</v>
      </c>
      <c r="AW276" s="3" t="s">
        <v>823</v>
      </c>
    </row>
    <row r="277" spans="1:49" ht="28.5" customHeight="1" x14ac:dyDescent="0.3">
      <c r="A277" s="5" t="s">
        <v>823</v>
      </c>
      <c r="B277" s="5" t="s">
        <v>823</v>
      </c>
      <c r="C277" s="5" t="s">
        <v>823</v>
      </c>
      <c r="D277" s="23">
        <v>0</v>
      </c>
      <c r="E277" s="28">
        <v>0</v>
      </c>
      <c r="F277" s="23">
        <f t="shared" si="50"/>
        <v>0</v>
      </c>
      <c r="G277" s="28">
        <v>0</v>
      </c>
      <c r="H277" s="23">
        <f t="shared" si="51"/>
        <v>0</v>
      </c>
      <c r="I277" s="28">
        <v>0</v>
      </c>
      <c r="J277" s="23">
        <f t="shared" si="52"/>
        <v>0</v>
      </c>
      <c r="K277" s="28">
        <f t="shared" si="53"/>
        <v>0</v>
      </c>
      <c r="L277" s="23">
        <f t="shared" si="54"/>
        <v>0</v>
      </c>
      <c r="M277" s="5" t="s">
        <v>823</v>
      </c>
      <c r="N277" s="5" t="s">
        <v>823</v>
      </c>
      <c r="O277" s="5" t="s">
        <v>823</v>
      </c>
      <c r="P277" s="5" t="s">
        <v>823</v>
      </c>
      <c r="AU277" s="14"/>
      <c r="AV277" s="31">
        <v>0</v>
      </c>
      <c r="AW277" s="3" t="s">
        <v>823</v>
      </c>
    </row>
    <row r="278" spans="1:49" ht="28.5" customHeight="1" x14ac:dyDescent="0.3">
      <c r="A278" s="5" t="s">
        <v>823</v>
      </c>
      <c r="B278" s="5" t="s">
        <v>823</v>
      </c>
      <c r="C278" s="5" t="s">
        <v>823</v>
      </c>
      <c r="D278" s="23">
        <v>0</v>
      </c>
      <c r="E278" s="28">
        <v>0</v>
      </c>
      <c r="F278" s="23">
        <f t="shared" si="50"/>
        <v>0</v>
      </c>
      <c r="G278" s="28">
        <v>0</v>
      </c>
      <c r="H278" s="23">
        <f t="shared" si="51"/>
        <v>0</v>
      </c>
      <c r="I278" s="28">
        <v>0</v>
      </c>
      <c r="J278" s="23">
        <f t="shared" si="52"/>
        <v>0</v>
      </c>
      <c r="K278" s="28">
        <f t="shared" si="53"/>
        <v>0</v>
      </c>
      <c r="L278" s="23">
        <f t="shared" si="54"/>
        <v>0</v>
      </c>
      <c r="M278" s="5" t="s">
        <v>823</v>
      </c>
      <c r="N278" s="5" t="s">
        <v>823</v>
      </c>
      <c r="O278" s="5" t="s">
        <v>823</v>
      </c>
      <c r="P278" s="5" t="s">
        <v>823</v>
      </c>
      <c r="AU278" s="14"/>
      <c r="AV278" s="31">
        <v>0</v>
      </c>
      <c r="AW278" s="3" t="s">
        <v>823</v>
      </c>
    </row>
    <row r="279" spans="1:49" ht="28.5" customHeight="1" x14ac:dyDescent="0.3">
      <c r="A279" s="5" t="s">
        <v>141</v>
      </c>
      <c r="B279" s="5" t="s">
        <v>823</v>
      </c>
      <c r="C279" s="5" t="s">
        <v>823</v>
      </c>
      <c r="D279" s="5" t="s">
        <v>823</v>
      </c>
      <c r="E279" s="18">
        <v>0</v>
      </c>
      <c r="F279" s="23">
        <f>TRUNC(SUMIF(Q256:Q278, Q255,F256:F278),0)</f>
        <v>0</v>
      </c>
      <c r="G279" s="23">
        <v>0</v>
      </c>
      <c r="H279" s="23">
        <f>TRUNC(SUMIF(Q256:Q278, Q255,H256:H278),0)</f>
        <v>0</v>
      </c>
      <c r="I279" s="23">
        <v>0</v>
      </c>
      <c r="J279" s="23">
        <f>TRUNC(SUMIF(Q256:Q278, Q255,J256:J278),0)</f>
        <v>3544850</v>
      </c>
      <c r="K279" s="15" t="s">
        <v>823</v>
      </c>
      <c r="L279" s="23">
        <f>F279+H279+J279</f>
        <v>3544850</v>
      </c>
      <c r="M279" s="5"/>
      <c r="AW279" s="5" t="s">
        <v>823</v>
      </c>
    </row>
  </sheetData>
  <mergeCells count="47">
    <mergeCell ref="AW3:AW4"/>
    <mergeCell ref="AR3:AR4"/>
    <mergeCell ref="AS3:AS4"/>
    <mergeCell ref="AT3:AT4"/>
    <mergeCell ref="AU3:AU4"/>
    <mergeCell ref="AV3:AV4"/>
    <mergeCell ref="AM3:AM4"/>
    <mergeCell ref="AN3:AN4"/>
    <mergeCell ref="AO3:AO4"/>
    <mergeCell ref="AP3:AP4"/>
    <mergeCell ref="AQ3:AQ4"/>
    <mergeCell ref="AH3:AH4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X3:X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A1:AW1"/>
    <mergeCell ref="A2:AW2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  <mergeCell ref="R3:R4"/>
  </mergeCells>
  <phoneticPr fontId="8" type="noConversion"/>
  <printOptions horizontalCentered="1"/>
  <pageMargins left="0.59055118110236227" right="0.19685039370078741" top="0.47244094488188981" bottom="0.27559055118110237" header="0" footer="0"/>
  <pageSetup paperSize="9" scale="62" fitToHeight="0" orientation="landscape" r:id="rId1"/>
  <rowBreaks count="11" manualBreakCount="11">
    <brk id="29" max="48" man="1"/>
    <brk id="54" max="48" man="1"/>
    <brk id="79" max="48" man="1"/>
    <brk id="104" max="48" man="1"/>
    <brk id="129" max="48" man="1"/>
    <brk id="154" max="48" man="1"/>
    <brk id="179" max="48" man="1"/>
    <brk id="204" max="48" man="1"/>
    <brk id="229" max="48" man="1"/>
    <brk id="254" max="48" man="1"/>
    <brk id="27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N71"/>
  <sheetViews>
    <sheetView view="pageBreakPreview" topLeftCell="A13" zoomScale="85" zoomScaleNormal="100" zoomScaleSheetLayoutView="85" workbookViewId="0">
      <selection activeCell="A13" sqref="A1:XFD1048576"/>
    </sheetView>
  </sheetViews>
  <sheetFormatPr defaultColWidth="9.125" defaultRowHeight="16.5" x14ac:dyDescent="0.3"/>
  <cols>
    <col min="1" max="1" width="11.625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1.75" customWidth="1"/>
    <col min="11" max="14" width="9.125" hidden="1"/>
  </cols>
  <sheetData>
    <row r="1" spans="1:14" ht="30" customHeight="1" x14ac:dyDescent="0.3">
      <c r="A1" s="32" t="s">
        <v>738</v>
      </c>
      <c r="B1" s="32"/>
      <c r="C1" s="32"/>
      <c r="D1" s="32"/>
      <c r="E1" s="32"/>
      <c r="F1" s="32"/>
      <c r="G1" s="32"/>
      <c r="H1" s="32"/>
      <c r="I1" s="32"/>
      <c r="J1" s="32"/>
    </row>
    <row r="2" spans="1:14" ht="30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ht="30" customHeight="1" x14ac:dyDescent="0.3">
      <c r="A3" s="8" t="s">
        <v>1246</v>
      </c>
      <c r="B3" s="8" t="s">
        <v>331</v>
      </c>
      <c r="C3" s="8" t="s">
        <v>4</v>
      </c>
      <c r="D3" s="8" t="s">
        <v>1015</v>
      </c>
      <c r="E3" s="8" t="s">
        <v>1099</v>
      </c>
      <c r="F3" s="8" t="s">
        <v>312</v>
      </c>
      <c r="G3" s="8" t="s">
        <v>242</v>
      </c>
      <c r="H3" s="8" t="s">
        <v>1193</v>
      </c>
      <c r="I3" s="8" t="s">
        <v>1008</v>
      </c>
      <c r="J3" s="8" t="s">
        <v>378</v>
      </c>
      <c r="K3" s="30" t="s">
        <v>964</v>
      </c>
      <c r="L3" s="17" t="s">
        <v>560</v>
      </c>
      <c r="M3" s="17" t="s">
        <v>313</v>
      </c>
      <c r="N3" s="17" t="s">
        <v>227</v>
      </c>
    </row>
    <row r="4" spans="1:14" ht="30" customHeight="1" x14ac:dyDescent="0.3">
      <c r="A4" s="5" t="s">
        <v>477</v>
      </c>
      <c r="B4" s="5" t="s">
        <v>1287</v>
      </c>
      <c r="C4" s="29" t="s">
        <v>1186</v>
      </c>
      <c r="D4" s="5" t="s">
        <v>547</v>
      </c>
      <c r="E4" s="28">
        <f>TRUNC(일위대가!F10, 0)</f>
        <v>0</v>
      </c>
      <c r="F4" s="28">
        <f>TRUNC(일위대가!H10, 0)</f>
        <v>0</v>
      </c>
      <c r="G4" s="28">
        <f>TRUNC(일위대가!J10, 0)</f>
        <v>1288284</v>
      </c>
      <c r="H4" s="28">
        <f t="shared" ref="H4:H35" si="0">TRUNC(E4+F4+G4, 0)</f>
        <v>1288284</v>
      </c>
      <c r="I4" s="1" t="str">
        <f>HYPERLINK("#일위대가!A5", "호표 1")</f>
        <v>호표 1</v>
      </c>
      <c r="J4" s="29" t="s">
        <v>495</v>
      </c>
      <c r="K4" s="5" t="s">
        <v>823</v>
      </c>
      <c r="L4" s="5"/>
      <c r="M4" s="5" t="s">
        <v>495</v>
      </c>
      <c r="N4" s="5" t="s">
        <v>823</v>
      </c>
    </row>
    <row r="5" spans="1:14" ht="30" customHeight="1" x14ac:dyDescent="0.3">
      <c r="A5" s="5" t="s">
        <v>315</v>
      </c>
      <c r="B5" s="5" t="s">
        <v>666</v>
      </c>
      <c r="C5" s="29" t="s">
        <v>1186</v>
      </c>
      <c r="D5" s="5" t="s">
        <v>547</v>
      </c>
      <c r="E5" s="28">
        <f>TRUNC(일위대가!F17, 0)</f>
        <v>0</v>
      </c>
      <c r="F5" s="28">
        <f>TRUNC(일위대가!H17, 0)</f>
        <v>0</v>
      </c>
      <c r="G5" s="28">
        <f>TRUNC(일위대가!J17, 0)</f>
        <v>1169402</v>
      </c>
      <c r="H5" s="28">
        <f t="shared" si="0"/>
        <v>1169402</v>
      </c>
      <c r="I5" s="1" t="str">
        <f>HYPERLINK("#일위대가!A12", "호표 2")</f>
        <v>호표 2</v>
      </c>
      <c r="J5" s="29" t="s">
        <v>495</v>
      </c>
      <c r="K5" s="5" t="s">
        <v>823</v>
      </c>
      <c r="L5" s="5"/>
      <c r="M5" s="5" t="s">
        <v>495</v>
      </c>
      <c r="N5" s="5" t="s">
        <v>823</v>
      </c>
    </row>
    <row r="6" spans="1:14" ht="30" customHeight="1" x14ac:dyDescent="0.3">
      <c r="A6" s="5" t="s">
        <v>691</v>
      </c>
      <c r="B6" s="5" t="s">
        <v>115</v>
      </c>
      <c r="C6" s="29" t="s">
        <v>1163</v>
      </c>
      <c r="D6" s="5" t="s">
        <v>1187</v>
      </c>
      <c r="E6" s="28">
        <f>TRUNC(일위대가!F31, 0)</f>
        <v>0</v>
      </c>
      <c r="F6" s="28">
        <f>TRUNC(일위대가!H31, 0)</f>
        <v>0</v>
      </c>
      <c r="G6" s="28">
        <f>TRUNC(일위대가!J31, 0)</f>
        <v>47535</v>
      </c>
      <c r="H6" s="28">
        <f t="shared" si="0"/>
        <v>47535</v>
      </c>
      <c r="I6" s="1" t="str">
        <f>HYPERLINK("#일위대가!A19", "호표 3")</f>
        <v>호표 3</v>
      </c>
      <c r="J6" s="29" t="s">
        <v>419</v>
      </c>
      <c r="K6" s="5"/>
      <c r="L6" s="5"/>
      <c r="M6" s="5" t="s">
        <v>419</v>
      </c>
      <c r="N6" s="5" t="s">
        <v>823</v>
      </c>
    </row>
    <row r="7" spans="1:14" ht="30" customHeight="1" x14ac:dyDescent="0.3">
      <c r="A7" s="5" t="s">
        <v>59</v>
      </c>
      <c r="B7" s="5" t="s">
        <v>1076</v>
      </c>
      <c r="C7" s="29" t="s">
        <v>98</v>
      </c>
      <c r="D7" s="5" t="s">
        <v>547</v>
      </c>
      <c r="E7" s="28">
        <f>TRUNC(일위대가!F38, 0)</f>
        <v>0</v>
      </c>
      <c r="F7" s="28">
        <f>TRUNC(일위대가!H38, 0)</f>
        <v>0</v>
      </c>
      <c r="G7" s="28">
        <f>TRUNC(일위대가!J38, 0)</f>
        <v>753290</v>
      </c>
      <c r="H7" s="28">
        <f t="shared" si="0"/>
        <v>753290</v>
      </c>
      <c r="I7" s="1" t="str">
        <f>HYPERLINK("#일위대가!A33", "호표 4")</f>
        <v>호표 4</v>
      </c>
      <c r="J7" s="29" t="s">
        <v>823</v>
      </c>
      <c r="K7" s="5"/>
      <c r="L7" s="5"/>
      <c r="M7" s="5" t="s">
        <v>823</v>
      </c>
      <c r="N7" s="5" t="s">
        <v>823</v>
      </c>
    </row>
    <row r="8" spans="1:14" ht="30" customHeight="1" x14ac:dyDescent="0.3">
      <c r="A8" s="5" t="s">
        <v>1047</v>
      </c>
      <c r="B8" s="5" t="s">
        <v>369</v>
      </c>
      <c r="C8" s="29" t="s">
        <v>78</v>
      </c>
      <c r="D8" s="5" t="s">
        <v>1004</v>
      </c>
      <c r="E8" s="28">
        <f>TRUNC(일위대가!F54, 0)</f>
        <v>8283</v>
      </c>
      <c r="F8" s="28">
        <f>TRUNC(일위대가!H54, 0)</f>
        <v>12894</v>
      </c>
      <c r="G8" s="28">
        <f>TRUNC(일위대가!J54, 0)</f>
        <v>0</v>
      </c>
      <c r="H8" s="28">
        <f t="shared" si="0"/>
        <v>21177</v>
      </c>
      <c r="I8" s="1" t="str">
        <f>HYPERLINK("#일위대가!A40", "호표 5")</f>
        <v>호표 5</v>
      </c>
      <c r="J8" s="29" t="s">
        <v>823</v>
      </c>
      <c r="K8" s="5"/>
      <c r="L8" s="5"/>
      <c r="M8" s="5" t="s">
        <v>823</v>
      </c>
      <c r="N8" s="5"/>
    </row>
    <row r="9" spans="1:14" ht="30" customHeight="1" x14ac:dyDescent="0.3">
      <c r="A9" s="5" t="s">
        <v>1115</v>
      </c>
      <c r="B9" s="5" t="s">
        <v>564</v>
      </c>
      <c r="C9" s="29" t="s">
        <v>1277</v>
      </c>
      <c r="D9" s="5" t="s">
        <v>130</v>
      </c>
      <c r="E9" s="28">
        <f>TRUNC(일위대가!F60, 0)</f>
        <v>17430</v>
      </c>
      <c r="F9" s="28">
        <f>TRUNC(일위대가!H60, 0)</f>
        <v>0</v>
      </c>
      <c r="G9" s="28">
        <f>TRUNC(일위대가!J60, 0)</f>
        <v>0</v>
      </c>
      <c r="H9" s="28">
        <f t="shared" si="0"/>
        <v>17430</v>
      </c>
      <c r="I9" s="1" t="str">
        <f>HYPERLINK("#일위대가!A56", "호표 6")</f>
        <v>호표 6</v>
      </c>
      <c r="J9" s="29" t="s">
        <v>823</v>
      </c>
      <c r="K9" s="5"/>
      <c r="L9" s="5"/>
      <c r="M9" s="5" t="s">
        <v>823</v>
      </c>
      <c r="N9" s="5"/>
    </row>
    <row r="10" spans="1:14" ht="30" customHeight="1" x14ac:dyDescent="0.3">
      <c r="A10" s="5" t="s">
        <v>957</v>
      </c>
      <c r="B10" s="5" t="s">
        <v>374</v>
      </c>
      <c r="C10" s="29" t="s">
        <v>682</v>
      </c>
      <c r="D10" s="5" t="s">
        <v>1004</v>
      </c>
      <c r="E10" s="28">
        <f>TRUNC(일위대가!F65, 0)</f>
        <v>2237</v>
      </c>
      <c r="F10" s="28">
        <f>TRUNC(일위대가!H65, 0)</f>
        <v>14909</v>
      </c>
      <c r="G10" s="28">
        <f>TRUNC(일위대가!J65, 0)</f>
        <v>236</v>
      </c>
      <c r="H10" s="28">
        <f t="shared" si="0"/>
        <v>17382</v>
      </c>
      <c r="I10" s="1" t="str">
        <f>HYPERLINK("#일위대가!A62", "호표 7")</f>
        <v>호표 7</v>
      </c>
      <c r="J10" s="29"/>
      <c r="K10" s="5"/>
      <c r="L10" s="5"/>
      <c r="M10" s="5"/>
      <c r="N10" s="5"/>
    </row>
    <row r="11" spans="1:14" ht="30" customHeight="1" x14ac:dyDescent="0.3">
      <c r="A11" s="5" t="s">
        <v>246</v>
      </c>
      <c r="B11" s="5" t="s">
        <v>1074</v>
      </c>
      <c r="C11" s="29" t="s">
        <v>280</v>
      </c>
      <c r="D11" s="5" t="s">
        <v>1001</v>
      </c>
      <c r="E11" s="28">
        <f>TRUNC(일위대가!F79, 0)</f>
        <v>58846</v>
      </c>
      <c r="F11" s="28">
        <f>TRUNC(일위대가!H79, 0)</f>
        <v>155690</v>
      </c>
      <c r="G11" s="28">
        <f>TRUNC(일위대가!J79, 0)</f>
        <v>0</v>
      </c>
      <c r="H11" s="28">
        <f t="shared" si="0"/>
        <v>214536</v>
      </c>
      <c r="I11" s="1" t="str">
        <f>HYPERLINK("#일위대가!A67", "호표 8")</f>
        <v>호표 8</v>
      </c>
      <c r="J11" s="29" t="s">
        <v>109</v>
      </c>
      <c r="K11" s="5" t="s">
        <v>823</v>
      </c>
      <c r="L11" s="5"/>
      <c r="M11" s="5" t="s">
        <v>109</v>
      </c>
      <c r="N11" s="5" t="s">
        <v>823</v>
      </c>
    </row>
    <row r="12" spans="1:14" ht="30" customHeight="1" x14ac:dyDescent="0.3">
      <c r="A12" s="5" t="s">
        <v>1046</v>
      </c>
      <c r="B12" s="5" t="s">
        <v>791</v>
      </c>
      <c r="C12" s="29" t="s">
        <v>550</v>
      </c>
      <c r="D12" s="5" t="s">
        <v>835</v>
      </c>
      <c r="E12" s="28">
        <f>TRUNC(일위대가!F85, 0)</f>
        <v>4727</v>
      </c>
      <c r="F12" s="28">
        <f>TRUNC(일위대가!H85, 0)</f>
        <v>18985</v>
      </c>
      <c r="G12" s="28">
        <f>TRUNC(일위대가!J85, 0)</f>
        <v>0</v>
      </c>
      <c r="H12" s="28">
        <f t="shared" si="0"/>
        <v>23712</v>
      </c>
      <c r="I12" s="1" t="str">
        <f>HYPERLINK("#일위대가!A81", "호표 9")</f>
        <v>호표 9</v>
      </c>
      <c r="J12" s="29" t="s">
        <v>823</v>
      </c>
      <c r="K12" s="5"/>
      <c r="L12" s="5"/>
      <c r="M12" s="5" t="s">
        <v>823</v>
      </c>
      <c r="N12" s="5" t="s">
        <v>823</v>
      </c>
    </row>
    <row r="13" spans="1:14" ht="30" customHeight="1" x14ac:dyDescent="0.3">
      <c r="A13" s="5" t="s">
        <v>795</v>
      </c>
      <c r="B13" s="5" t="s">
        <v>571</v>
      </c>
      <c r="C13" s="29" t="s">
        <v>852</v>
      </c>
      <c r="D13" s="5" t="s">
        <v>1004</v>
      </c>
      <c r="E13" s="28">
        <f>TRUNC(일위대가!F89, 0)</f>
        <v>0</v>
      </c>
      <c r="F13" s="28">
        <f>TRUNC(일위대가!H89, 0)</f>
        <v>8551</v>
      </c>
      <c r="G13" s="28">
        <f>TRUNC(일위대가!J89, 0)</f>
        <v>0</v>
      </c>
      <c r="H13" s="28">
        <f t="shared" si="0"/>
        <v>8551</v>
      </c>
      <c r="I13" s="1" t="str">
        <f>HYPERLINK("#일위대가!A87", "호표 10")</f>
        <v>호표 10</v>
      </c>
      <c r="J13" s="29" t="s">
        <v>459</v>
      </c>
      <c r="K13" s="5"/>
      <c r="L13" s="5"/>
      <c r="M13" s="5" t="s">
        <v>459</v>
      </c>
      <c r="N13" s="5"/>
    </row>
    <row r="14" spans="1:14" ht="30" customHeight="1" x14ac:dyDescent="0.3">
      <c r="A14" s="5" t="s">
        <v>335</v>
      </c>
      <c r="B14" s="5" t="s">
        <v>90</v>
      </c>
      <c r="C14" s="29" t="s">
        <v>539</v>
      </c>
      <c r="D14" s="5" t="s">
        <v>1167</v>
      </c>
      <c r="E14" s="28">
        <f>TRUNC(일위대가!F93, 0)</f>
        <v>0</v>
      </c>
      <c r="F14" s="28">
        <f>TRUNC(일위대가!H93, 0)</f>
        <v>342074</v>
      </c>
      <c r="G14" s="28">
        <f>TRUNC(일위대가!J93, 0)</f>
        <v>0</v>
      </c>
      <c r="H14" s="28">
        <f t="shared" si="0"/>
        <v>342074</v>
      </c>
      <c r="I14" s="1" t="str">
        <f>HYPERLINK("#일위대가!A91", "호표 11")</f>
        <v>호표 11</v>
      </c>
      <c r="J14" s="29"/>
      <c r="K14" s="5"/>
      <c r="L14" s="5"/>
      <c r="M14" s="5"/>
      <c r="N14" s="5"/>
    </row>
    <row r="15" spans="1:14" ht="30" customHeight="1" x14ac:dyDescent="0.3">
      <c r="A15" s="5" t="s">
        <v>1239</v>
      </c>
      <c r="B15" s="5" t="s">
        <v>697</v>
      </c>
      <c r="C15" s="29" t="s">
        <v>930</v>
      </c>
      <c r="D15" s="5" t="s">
        <v>1004</v>
      </c>
      <c r="E15" s="28">
        <f>TRUNC(일위대가!F99, 0)</f>
        <v>31866</v>
      </c>
      <c r="F15" s="28">
        <f>TRUNC(일위대가!H99, 0)</f>
        <v>34074</v>
      </c>
      <c r="G15" s="28">
        <f>TRUNC(일위대가!J99, 0)</f>
        <v>0</v>
      </c>
      <c r="H15" s="28">
        <f t="shared" si="0"/>
        <v>65940</v>
      </c>
      <c r="I15" s="1" t="str">
        <f>HYPERLINK("#일위대가!A95", "호표 12")</f>
        <v>호표 12</v>
      </c>
      <c r="J15" s="29" t="s">
        <v>794</v>
      </c>
      <c r="K15" s="5"/>
      <c r="L15" s="5"/>
      <c r="M15" s="5" t="s">
        <v>794</v>
      </c>
      <c r="N15" s="5"/>
    </row>
    <row r="16" spans="1:14" ht="30" customHeight="1" x14ac:dyDescent="0.3">
      <c r="A16" s="5" t="s">
        <v>306</v>
      </c>
      <c r="B16" s="5" t="s">
        <v>1089</v>
      </c>
      <c r="C16" s="29" t="s">
        <v>359</v>
      </c>
      <c r="D16" s="5" t="s">
        <v>1312</v>
      </c>
      <c r="E16" s="28">
        <f>TRUNC(일위대가!F105, 0)</f>
        <v>6192</v>
      </c>
      <c r="F16" s="28">
        <f>TRUNC(일위대가!H105, 0)</f>
        <v>206405</v>
      </c>
      <c r="G16" s="28">
        <f>TRUNC(일위대가!J105, 0)</f>
        <v>0</v>
      </c>
      <c r="H16" s="28">
        <f t="shared" si="0"/>
        <v>212597</v>
      </c>
      <c r="I16" s="1" t="str">
        <f>HYPERLINK("#일위대가!A101", "호표 13")</f>
        <v>호표 13</v>
      </c>
      <c r="J16" s="29" t="s">
        <v>1050</v>
      </c>
      <c r="K16" s="5"/>
      <c r="L16" s="5"/>
      <c r="M16" s="5" t="s">
        <v>1050</v>
      </c>
      <c r="N16" s="5"/>
    </row>
    <row r="17" spans="1:14" ht="30" customHeight="1" x14ac:dyDescent="0.3">
      <c r="A17" s="5" t="s">
        <v>796</v>
      </c>
      <c r="B17" s="5" t="s">
        <v>1040</v>
      </c>
      <c r="C17" s="29" t="s">
        <v>164</v>
      </c>
      <c r="D17" s="5" t="s">
        <v>1312</v>
      </c>
      <c r="E17" s="28">
        <f>TRUNC(일위대가!F109, 0)</f>
        <v>5567</v>
      </c>
      <c r="F17" s="28">
        <f>TRUNC(일위대가!H109, 0)</f>
        <v>31071</v>
      </c>
      <c r="G17" s="28">
        <f>TRUNC(일위대가!J109, 0)</f>
        <v>28082</v>
      </c>
      <c r="H17" s="28">
        <f t="shared" si="0"/>
        <v>64720</v>
      </c>
      <c r="I17" s="1" t="str">
        <f>HYPERLINK("#일위대가!A107", "호표 14")</f>
        <v>호표 14</v>
      </c>
      <c r="J17" s="29" t="s">
        <v>417</v>
      </c>
      <c r="K17" s="5"/>
      <c r="L17" s="5"/>
      <c r="M17" s="5" t="s">
        <v>417</v>
      </c>
      <c r="N17" s="5"/>
    </row>
    <row r="18" spans="1:14" ht="30" customHeight="1" x14ac:dyDescent="0.3">
      <c r="A18" s="5" t="s">
        <v>1135</v>
      </c>
      <c r="B18" s="5" t="s">
        <v>52</v>
      </c>
      <c r="C18" s="29" t="s">
        <v>443</v>
      </c>
      <c r="D18" s="5" t="s">
        <v>1312</v>
      </c>
      <c r="E18" s="28">
        <f>TRUNC(일위대가!F115, 0)</f>
        <v>244804</v>
      </c>
      <c r="F18" s="28">
        <f>TRUNC(일위대가!H115, 0)</f>
        <v>387502</v>
      </c>
      <c r="G18" s="28">
        <f>TRUNC(일위대가!J115, 0)</f>
        <v>0</v>
      </c>
      <c r="H18" s="28">
        <f t="shared" si="0"/>
        <v>632306</v>
      </c>
      <c r="I18" s="1" t="str">
        <f>HYPERLINK("#일위대가!A111", "호표 15")</f>
        <v>호표 15</v>
      </c>
      <c r="J18" s="29" t="s">
        <v>721</v>
      </c>
      <c r="K18" s="5"/>
      <c r="L18" s="5"/>
      <c r="M18" s="5" t="s">
        <v>721</v>
      </c>
      <c r="N18" s="5"/>
    </row>
    <row r="19" spans="1:14" ht="30" customHeight="1" x14ac:dyDescent="0.3">
      <c r="A19" s="5" t="s">
        <v>473</v>
      </c>
      <c r="B19" s="5" t="s">
        <v>505</v>
      </c>
      <c r="C19" s="29" t="s">
        <v>813</v>
      </c>
      <c r="D19" s="5" t="s">
        <v>1312</v>
      </c>
      <c r="E19" s="28">
        <f>TRUNC(일위대가!F121, 0)</f>
        <v>0</v>
      </c>
      <c r="F19" s="28">
        <f>TRUNC(일위대가!H121, 0)</f>
        <v>137858</v>
      </c>
      <c r="G19" s="28">
        <f>TRUNC(일위대가!J121, 0)</f>
        <v>0</v>
      </c>
      <c r="H19" s="28">
        <f t="shared" si="0"/>
        <v>137858</v>
      </c>
      <c r="I19" s="1" t="str">
        <f>HYPERLINK("#일위대가!A117", "호표 16")</f>
        <v>호표 16</v>
      </c>
      <c r="J19" s="29" t="s">
        <v>545</v>
      </c>
      <c r="K19" s="5"/>
      <c r="L19" s="5"/>
      <c r="M19" s="5" t="s">
        <v>545</v>
      </c>
      <c r="N19" s="5"/>
    </row>
    <row r="20" spans="1:14" ht="30" customHeight="1" x14ac:dyDescent="0.3">
      <c r="A20" s="5" t="s">
        <v>71</v>
      </c>
      <c r="B20" s="5" t="s">
        <v>503</v>
      </c>
      <c r="C20" s="29" t="s">
        <v>823</v>
      </c>
      <c r="D20" s="5" t="s">
        <v>1312</v>
      </c>
      <c r="E20" s="28">
        <f>TRUNC(일위대가!F127, 0)</f>
        <v>54627</v>
      </c>
      <c r="F20" s="28">
        <f>TRUNC(일위대가!H127, 0)</f>
        <v>660049</v>
      </c>
      <c r="G20" s="28">
        <f>TRUNC(일위대가!J127, 0)</f>
        <v>222272</v>
      </c>
      <c r="H20" s="28">
        <f t="shared" si="0"/>
        <v>936948</v>
      </c>
      <c r="I20" s="1" t="str">
        <f>HYPERLINK("#일위대가!A123", "호표 17")</f>
        <v>호표 17</v>
      </c>
      <c r="J20" s="29" t="s">
        <v>647</v>
      </c>
      <c r="K20" s="5"/>
      <c r="L20" s="5"/>
      <c r="M20" s="5" t="s">
        <v>647</v>
      </c>
      <c r="N20" s="5"/>
    </row>
    <row r="21" spans="1:14" ht="30" customHeight="1" x14ac:dyDescent="0.3">
      <c r="A21" s="5" t="s">
        <v>844</v>
      </c>
      <c r="B21" s="5" t="s">
        <v>593</v>
      </c>
      <c r="C21" s="29" t="s">
        <v>742</v>
      </c>
      <c r="D21" s="5" t="s">
        <v>547</v>
      </c>
      <c r="E21" s="28">
        <f>TRUNC(일위대가!F132, 0)</f>
        <v>1462</v>
      </c>
      <c r="F21" s="28">
        <f>TRUNC(일위대가!H132, 0)</f>
        <v>40321</v>
      </c>
      <c r="G21" s="28">
        <f>TRUNC(일위대가!J132, 0)</f>
        <v>0</v>
      </c>
      <c r="H21" s="28">
        <f t="shared" si="0"/>
        <v>41783</v>
      </c>
      <c r="I21" s="1" t="str">
        <f>HYPERLINK("#일위대가!A129", "호표 18")</f>
        <v>호표 18</v>
      </c>
      <c r="J21" s="29" t="s">
        <v>324</v>
      </c>
      <c r="K21" s="5" t="s">
        <v>823</v>
      </c>
      <c r="L21" s="5"/>
      <c r="M21" s="5" t="s">
        <v>324</v>
      </c>
      <c r="N21" s="5" t="s">
        <v>823</v>
      </c>
    </row>
    <row r="22" spans="1:14" ht="30" customHeight="1" x14ac:dyDescent="0.3">
      <c r="A22" s="5" t="s">
        <v>225</v>
      </c>
      <c r="B22" s="5" t="s">
        <v>593</v>
      </c>
      <c r="C22" s="29" t="s">
        <v>990</v>
      </c>
      <c r="D22" s="5" t="s">
        <v>547</v>
      </c>
      <c r="E22" s="28">
        <f>TRUNC(일위대가!F137, 0)</f>
        <v>2106</v>
      </c>
      <c r="F22" s="28">
        <f>TRUNC(일위대가!H137, 0)</f>
        <v>40321</v>
      </c>
      <c r="G22" s="28">
        <f>TRUNC(일위대가!J137, 0)</f>
        <v>0</v>
      </c>
      <c r="H22" s="28">
        <f t="shared" si="0"/>
        <v>42427</v>
      </c>
      <c r="I22" s="1" t="str">
        <f>HYPERLINK("#일위대가!A134", "호표 19")</f>
        <v>호표 19</v>
      </c>
      <c r="J22" s="29" t="s">
        <v>324</v>
      </c>
      <c r="K22" s="5" t="s">
        <v>823</v>
      </c>
      <c r="L22" s="5"/>
      <c r="M22" s="5" t="s">
        <v>324</v>
      </c>
      <c r="N22" s="5" t="s">
        <v>823</v>
      </c>
    </row>
    <row r="23" spans="1:14" ht="30" customHeight="1" x14ac:dyDescent="0.3">
      <c r="A23" s="5" t="s">
        <v>860</v>
      </c>
      <c r="B23" s="5" t="s">
        <v>469</v>
      </c>
      <c r="C23" s="29" t="s">
        <v>1116</v>
      </c>
      <c r="D23" s="5" t="s">
        <v>1004</v>
      </c>
      <c r="E23" s="28">
        <f>TRUNC(일위대가!F145, 0)</f>
        <v>998</v>
      </c>
      <c r="F23" s="28">
        <f>TRUNC(일위대가!H145, 0)</f>
        <v>919</v>
      </c>
      <c r="G23" s="28">
        <f>TRUNC(일위대가!J145, 0)</f>
        <v>0</v>
      </c>
      <c r="H23" s="28">
        <f t="shared" si="0"/>
        <v>1917</v>
      </c>
      <c r="I23" s="1" t="str">
        <f>HYPERLINK("#일위대가!A139", "호표 20")</f>
        <v>호표 20</v>
      </c>
      <c r="J23" s="29" t="s">
        <v>823</v>
      </c>
      <c r="K23" s="5"/>
      <c r="L23" s="5"/>
      <c r="M23" s="5" t="s">
        <v>823</v>
      </c>
      <c r="N23" s="5"/>
    </row>
    <row r="24" spans="1:14" ht="30" customHeight="1" x14ac:dyDescent="0.3">
      <c r="A24" s="5" t="s">
        <v>684</v>
      </c>
      <c r="B24" s="5" t="s">
        <v>983</v>
      </c>
      <c r="C24" s="29" t="s">
        <v>1024</v>
      </c>
      <c r="D24" s="5" t="s">
        <v>1004</v>
      </c>
      <c r="E24" s="28">
        <f>TRUNC(일위대가!F154, 0)</f>
        <v>1851</v>
      </c>
      <c r="F24" s="28">
        <f>TRUNC(일위대가!H154, 0)</f>
        <v>3301</v>
      </c>
      <c r="G24" s="28">
        <f>TRUNC(일위대가!J154, 0)</f>
        <v>0</v>
      </c>
      <c r="H24" s="28">
        <f t="shared" si="0"/>
        <v>5152</v>
      </c>
      <c r="I24" s="1" t="str">
        <f>HYPERLINK("#일위대가!A147", "호표 21")</f>
        <v>호표 21</v>
      </c>
      <c r="J24" s="29" t="s">
        <v>823</v>
      </c>
      <c r="K24" s="5"/>
      <c r="L24" s="5"/>
      <c r="M24" s="5" t="s">
        <v>823</v>
      </c>
      <c r="N24" s="5"/>
    </row>
    <row r="25" spans="1:14" ht="30" customHeight="1" x14ac:dyDescent="0.3">
      <c r="A25" s="5" t="s">
        <v>976</v>
      </c>
      <c r="B25" s="5" t="s">
        <v>409</v>
      </c>
      <c r="C25" s="29" t="s">
        <v>871</v>
      </c>
      <c r="D25" s="5" t="s">
        <v>167</v>
      </c>
      <c r="E25" s="28">
        <f>TRUNC(일위대가!F165, 0)</f>
        <v>3112</v>
      </c>
      <c r="F25" s="28">
        <f>TRUNC(일위대가!H165, 0)</f>
        <v>9447</v>
      </c>
      <c r="G25" s="28">
        <f>TRUNC(일위대가!J165, 0)</f>
        <v>194</v>
      </c>
      <c r="H25" s="28">
        <f t="shared" si="0"/>
        <v>12753</v>
      </c>
      <c r="I25" s="1" t="str">
        <f>HYPERLINK("#일위대가!A156", "호표 22")</f>
        <v>호표 22</v>
      </c>
      <c r="J25" s="29" t="s">
        <v>239</v>
      </c>
      <c r="K25" s="5" t="s">
        <v>823</v>
      </c>
      <c r="L25" s="5"/>
      <c r="M25" s="5" t="s">
        <v>239</v>
      </c>
      <c r="N25" s="5" t="s">
        <v>823</v>
      </c>
    </row>
    <row r="26" spans="1:14" ht="30" customHeight="1" x14ac:dyDescent="0.3">
      <c r="A26" s="5" t="s">
        <v>1107</v>
      </c>
      <c r="B26" s="5" t="s">
        <v>1127</v>
      </c>
      <c r="C26" s="29" t="s">
        <v>765</v>
      </c>
      <c r="D26" s="5" t="s">
        <v>1004</v>
      </c>
      <c r="E26" s="28">
        <f>TRUNC(일위대가!F171, 0)</f>
        <v>3353</v>
      </c>
      <c r="F26" s="28">
        <f>TRUNC(일위대가!H171, 0)</f>
        <v>9866</v>
      </c>
      <c r="G26" s="28">
        <f>TRUNC(일위대가!J171, 0)</f>
        <v>0</v>
      </c>
      <c r="H26" s="28">
        <f t="shared" si="0"/>
        <v>13219</v>
      </c>
      <c r="I26" s="1" t="str">
        <f>HYPERLINK("#일위대가!A167", "호표 23")</f>
        <v>호표 23</v>
      </c>
      <c r="J26" s="29" t="s">
        <v>677</v>
      </c>
      <c r="K26" s="5" t="s">
        <v>823</v>
      </c>
      <c r="L26" s="5"/>
      <c r="M26" s="5" t="s">
        <v>677</v>
      </c>
      <c r="N26" s="5" t="s">
        <v>823</v>
      </c>
    </row>
    <row r="27" spans="1:14" ht="30" customHeight="1" x14ac:dyDescent="0.3">
      <c r="A27" s="5" t="s">
        <v>189</v>
      </c>
      <c r="B27" s="5" t="s">
        <v>1127</v>
      </c>
      <c r="C27" s="29" t="s">
        <v>710</v>
      </c>
      <c r="D27" s="5" t="s">
        <v>1004</v>
      </c>
      <c r="E27" s="28">
        <f>TRUNC(일위대가!F180, 0)</f>
        <v>8046</v>
      </c>
      <c r="F27" s="28">
        <f>TRUNC(일위대가!H180, 0)</f>
        <v>19732</v>
      </c>
      <c r="G27" s="28">
        <f>TRUNC(일위대가!J180, 0)</f>
        <v>0</v>
      </c>
      <c r="H27" s="28">
        <f t="shared" si="0"/>
        <v>27778</v>
      </c>
      <c r="I27" s="1" t="str">
        <f>HYPERLINK("#일위대가!A173", "호표 24")</f>
        <v>호표 24</v>
      </c>
      <c r="J27" s="29" t="s">
        <v>677</v>
      </c>
      <c r="K27" s="5" t="s">
        <v>823</v>
      </c>
      <c r="L27" s="5"/>
      <c r="M27" s="5" t="s">
        <v>677</v>
      </c>
      <c r="N27" s="5" t="s">
        <v>823</v>
      </c>
    </row>
    <row r="28" spans="1:14" ht="30" customHeight="1" x14ac:dyDescent="0.3">
      <c r="A28" s="5" t="s">
        <v>394</v>
      </c>
      <c r="B28" s="5" t="s">
        <v>812</v>
      </c>
      <c r="C28" s="29" t="s">
        <v>1022</v>
      </c>
      <c r="D28" s="5" t="s">
        <v>1004</v>
      </c>
      <c r="E28" s="28">
        <f>TRUNC(일위대가!F190, 0)</f>
        <v>12383</v>
      </c>
      <c r="F28" s="28">
        <f>TRUNC(일위대가!H190, 0)</f>
        <v>10477</v>
      </c>
      <c r="G28" s="28">
        <f>TRUNC(일위대가!J190, 0)</f>
        <v>0</v>
      </c>
      <c r="H28" s="28">
        <f t="shared" si="0"/>
        <v>22860</v>
      </c>
      <c r="I28" s="1" t="str">
        <f>HYPERLINK("#일위대가!A182", "호표 25")</f>
        <v>호표 25</v>
      </c>
      <c r="J28" s="29" t="s">
        <v>25</v>
      </c>
      <c r="K28" s="5" t="s">
        <v>823</v>
      </c>
      <c r="L28" s="5"/>
      <c r="M28" s="5" t="s">
        <v>25</v>
      </c>
      <c r="N28" s="5" t="s">
        <v>823</v>
      </c>
    </row>
    <row r="29" spans="1:14" ht="30" customHeight="1" x14ac:dyDescent="0.3">
      <c r="A29" s="5" t="s">
        <v>1069</v>
      </c>
      <c r="B29" s="5" t="s">
        <v>926</v>
      </c>
      <c r="C29" s="29" t="s">
        <v>142</v>
      </c>
      <c r="D29" s="5" t="s">
        <v>1004</v>
      </c>
      <c r="E29" s="28">
        <f>TRUNC(일위대가!F195, 0)</f>
        <v>0</v>
      </c>
      <c r="F29" s="28">
        <f>TRUNC(일위대가!H195, 0)</f>
        <v>5965</v>
      </c>
      <c r="G29" s="28">
        <f>TRUNC(일위대가!J195, 0)</f>
        <v>0</v>
      </c>
      <c r="H29" s="28">
        <f t="shared" si="0"/>
        <v>5965</v>
      </c>
      <c r="I29" s="1" t="str">
        <f>HYPERLINK("#일위대가!A192", "호표 26")</f>
        <v>호표 26</v>
      </c>
      <c r="J29" s="29" t="s">
        <v>476</v>
      </c>
      <c r="K29" s="5"/>
      <c r="L29" s="5"/>
      <c r="M29" s="5" t="s">
        <v>476</v>
      </c>
      <c r="N29" s="5"/>
    </row>
    <row r="30" spans="1:14" ht="30" customHeight="1" x14ac:dyDescent="0.3">
      <c r="A30" s="5" t="s">
        <v>522</v>
      </c>
      <c r="B30" s="5" t="s">
        <v>1210</v>
      </c>
      <c r="C30" s="29" t="s">
        <v>142</v>
      </c>
      <c r="D30" s="5" t="s">
        <v>1004</v>
      </c>
      <c r="E30" s="28">
        <f>TRUNC(일위대가!F201, 0)</f>
        <v>132</v>
      </c>
      <c r="F30" s="28">
        <f>TRUNC(일위대가!H201, 0)</f>
        <v>6646</v>
      </c>
      <c r="G30" s="28">
        <f>TRUNC(일위대가!J201, 0)</f>
        <v>0</v>
      </c>
      <c r="H30" s="28">
        <f t="shared" si="0"/>
        <v>6778</v>
      </c>
      <c r="I30" s="1" t="str">
        <f>HYPERLINK("#일위대가!A197", "호표 27")</f>
        <v>호표 27</v>
      </c>
      <c r="J30" s="29" t="s">
        <v>919</v>
      </c>
      <c r="K30" s="5"/>
      <c r="L30" s="5"/>
      <c r="M30" s="5" t="s">
        <v>919</v>
      </c>
      <c r="N30" s="5"/>
    </row>
    <row r="31" spans="1:14" ht="30" customHeight="1" x14ac:dyDescent="0.3">
      <c r="A31" s="5" t="s">
        <v>220</v>
      </c>
      <c r="B31" s="5" t="s">
        <v>451</v>
      </c>
      <c r="C31" s="29" t="s">
        <v>142</v>
      </c>
      <c r="D31" s="5" t="s">
        <v>1004</v>
      </c>
      <c r="E31" s="28">
        <f>TRUNC(일위대가!F207, 0)</f>
        <v>119</v>
      </c>
      <c r="F31" s="28">
        <f>TRUNC(일위대가!H207, 0)</f>
        <v>5965</v>
      </c>
      <c r="G31" s="28">
        <f>TRUNC(일위대가!J207, 0)</f>
        <v>0</v>
      </c>
      <c r="H31" s="28">
        <f t="shared" si="0"/>
        <v>6084</v>
      </c>
      <c r="I31" s="1" t="str">
        <f>HYPERLINK("#일위대가!A203", "호표 28")</f>
        <v>호표 28</v>
      </c>
      <c r="J31" s="29" t="s">
        <v>474</v>
      </c>
      <c r="K31" s="5"/>
      <c r="L31" s="5"/>
      <c r="M31" s="5" t="s">
        <v>474</v>
      </c>
      <c r="N31" s="5"/>
    </row>
    <row r="32" spans="1:14" ht="30" customHeight="1" x14ac:dyDescent="0.3">
      <c r="A32" s="5" t="s">
        <v>36</v>
      </c>
      <c r="B32" s="5" t="s">
        <v>310</v>
      </c>
      <c r="C32" s="29" t="s">
        <v>163</v>
      </c>
      <c r="D32" s="5" t="s">
        <v>1004</v>
      </c>
      <c r="E32" s="28">
        <f>TRUNC(일위대가!F213, 0)</f>
        <v>119</v>
      </c>
      <c r="F32" s="28">
        <f>TRUNC(일위대가!H213, 0)</f>
        <v>5965</v>
      </c>
      <c r="G32" s="28">
        <f>TRUNC(일위대가!J213, 0)</f>
        <v>0</v>
      </c>
      <c r="H32" s="28">
        <f t="shared" si="0"/>
        <v>6084</v>
      </c>
      <c r="I32" s="1" t="str">
        <f>HYPERLINK("#일위대가!A209", "호표 29")</f>
        <v>호표 29</v>
      </c>
      <c r="J32" s="29" t="s">
        <v>474</v>
      </c>
      <c r="K32" s="5"/>
      <c r="L32" s="5"/>
      <c r="M32" s="5" t="s">
        <v>474</v>
      </c>
      <c r="N32" s="5"/>
    </row>
    <row r="33" spans="1:14" ht="30" customHeight="1" x14ac:dyDescent="0.3">
      <c r="A33" s="5" t="s">
        <v>1018</v>
      </c>
      <c r="B33" s="5" t="s">
        <v>1054</v>
      </c>
      <c r="C33" s="29" t="s">
        <v>142</v>
      </c>
      <c r="D33" s="5" t="s">
        <v>1004</v>
      </c>
      <c r="E33" s="28">
        <f>TRUNC(일위대가!F219, 0)</f>
        <v>105</v>
      </c>
      <c r="F33" s="28">
        <f>TRUNC(일위대가!H219, 0)</f>
        <v>5283</v>
      </c>
      <c r="G33" s="28">
        <f>TRUNC(일위대가!J219, 0)</f>
        <v>0</v>
      </c>
      <c r="H33" s="28">
        <f t="shared" si="0"/>
        <v>5388</v>
      </c>
      <c r="I33" s="1" t="str">
        <f>HYPERLINK("#일위대가!A215", "호표 30")</f>
        <v>호표 30</v>
      </c>
      <c r="J33" s="29" t="s">
        <v>661</v>
      </c>
      <c r="K33" s="5"/>
      <c r="L33" s="5"/>
      <c r="M33" s="5" t="s">
        <v>661</v>
      </c>
      <c r="N33" s="5"/>
    </row>
    <row r="34" spans="1:14" ht="30" customHeight="1" x14ac:dyDescent="0.3">
      <c r="A34" s="5" t="s">
        <v>966</v>
      </c>
      <c r="B34" s="5" t="s">
        <v>625</v>
      </c>
      <c r="C34" s="29" t="s">
        <v>823</v>
      </c>
      <c r="D34" s="5" t="s">
        <v>167</v>
      </c>
      <c r="E34" s="28">
        <f>TRUNC(일위대가!F225, 0)</f>
        <v>0</v>
      </c>
      <c r="F34" s="28">
        <f>TRUNC(일위대가!H225, 0)</f>
        <v>10342</v>
      </c>
      <c r="G34" s="28">
        <f>TRUNC(일위대가!J225, 0)</f>
        <v>76</v>
      </c>
      <c r="H34" s="28">
        <f t="shared" si="0"/>
        <v>10418</v>
      </c>
      <c r="I34" s="1" t="str">
        <f>HYPERLINK("#일위대가!A221", "호표 31")</f>
        <v>호표 31</v>
      </c>
      <c r="J34" s="29"/>
      <c r="K34" s="5"/>
      <c r="L34" s="5"/>
      <c r="M34" s="5"/>
      <c r="N34" s="5"/>
    </row>
    <row r="35" spans="1:14" ht="30" customHeight="1" x14ac:dyDescent="0.3">
      <c r="A35" s="5" t="s">
        <v>83</v>
      </c>
      <c r="B35" s="5" t="s">
        <v>216</v>
      </c>
      <c r="C35" s="29" t="s">
        <v>163</v>
      </c>
      <c r="D35" s="5" t="s">
        <v>1004</v>
      </c>
      <c r="E35" s="28">
        <f>TRUNC(일위대가!F231, 0)</f>
        <v>0</v>
      </c>
      <c r="F35" s="28">
        <f>TRUNC(일위대가!H231, 0)</f>
        <v>5283</v>
      </c>
      <c r="G35" s="28">
        <f>TRUNC(일위대가!J231, 0)</f>
        <v>52</v>
      </c>
      <c r="H35" s="28">
        <f t="shared" si="0"/>
        <v>5335</v>
      </c>
      <c r="I35" s="1" t="str">
        <f>HYPERLINK("#일위대가!A227", "호표 32")</f>
        <v>호표 32</v>
      </c>
      <c r="J35" s="29"/>
      <c r="K35" s="5"/>
      <c r="L35" s="5"/>
      <c r="M35" s="5"/>
      <c r="N35" s="5"/>
    </row>
    <row r="36" spans="1:14" ht="30" customHeight="1" x14ac:dyDescent="0.3">
      <c r="A36" s="5" t="s">
        <v>1286</v>
      </c>
      <c r="B36" s="5" t="s">
        <v>532</v>
      </c>
      <c r="C36" s="29" t="s">
        <v>823</v>
      </c>
      <c r="D36" s="5" t="s">
        <v>1004</v>
      </c>
      <c r="E36" s="28">
        <f>TRUNC(일위대가!F236, 0)</f>
        <v>0</v>
      </c>
      <c r="F36" s="28">
        <f>TRUNC(일위대가!H236, 0)</f>
        <v>8518</v>
      </c>
      <c r="G36" s="28">
        <f>TRUNC(일위대가!J236, 0)</f>
        <v>0</v>
      </c>
      <c r="H36" s="28">
        <f t="shared" ref="H36:H67" si="1">TRUNC(E36+F36+G36, 0)</f>
        <v>8518</v>
      </c>
      <c r="I36" s="1" t="str">
        <f>HYPERLINK("#일위대가!A233", "호표 33")</f>
        <v>호표 33</v>
      </c>
      <c r="J36" s="29" t="s">
        <v>823</v>
      </c>
      <c r="K36" s="5"/>
      <c r="L36" s="5"/>
      <c r="M36" s="5" t="s">
        <v>823</v>
      </c>
      <c r="N36" s="5"/>
    </row>
    <row r="37" spans="1:14" ht="30" customHeight="1" x14ac:dyDescent="0.3">
      <c r="A37" s="5" t="s">
        <v>1263</v>
      </c>
      <c r="B37" s="5" t="s">
        <v>751</v>
      </c>
      <c r="C37" s="29" t="s">
        <v>823</v>
      </c>
      <c r="D37" s="5" t="s">
        <v>1004</v>
      </c>
      <c r="E37" s="28">
        <f>TRUNC(일위대가!F241, 0)</f>
        <v>0</v>
      </c>
      <c r="F37" s="28">
        <f>TRUNC(일위대가!H241, 0)</f>
        <v>3323</v>
      </c>
      <c r="G37" s="28">
        <f>TRUNC(일위대가!J241, 0)</f>
        <v>0</v>
      </c>
      <c r="H37" s="28">
        <f t="shared" si="1"/>
        <v>3323</v>
      </c>
      <c r="I37" s="1" t="str">
        <f>HYPERLINK("#일위대가!A238", "호표 34")</f>
        <v>호표 34</v>
      </c>
      <c r="J37" s="29" t="s">
        <v>823</v>
      </c>
      <c r="K37" s="5"/>
      <c r="L37" s="5"/>
      <c r="M37" s="5" t="s">
        <v>823</v>
      </c>
      <c r="N37" s="5"/>
    </row>
    <row r="38" spans="1:14" ht="30" customHeight="1" x14ac:dyDescent="0.3">
      <c r="A38" s="5" t="s">
        <v>1058</v>
      </c>
      <c r="B38" s="5" t="s">
        <v>1242</v>
      </c>
      <c r="C38" s="29" t="s">
        <v>823</v>
      </c>
      <c r="D38" s="5" t="s">
        <v>1187</v>
      </c>
      <c r="E38" s="28">
        <f>TRUNC(일위대가!F247, 0)</f>
        <v>0</v>
      </c>
      <c r="F38" s="28">
        <f>TRUNC(일위대가!H247, 0)</f>
        <v>10514</v>
      </c>
      <c r="G38" s="28">
        <f>TRUNC(일위대가!J247, 0)</f>
        <v>105</v>
      </c>
      <c r="H38" s="28">
        <f t="shared" si="1"/>
        <v>10619</v>
      </c>
      <c r="I38" s="1" t="str">
        <f>HYPERLINK("#일위대가!A243", "호표 35")</f>
        <v>호표 35</v>
      </c>
      <c r="J38" s="29" t="s">
        <v>823</v>
      </c>
      <c r="K38" s="5"/>
      <c r="L38" s="5"/>
      <c r="M38" s="5" t="s">
        <v>823</v>
      </c>
      <c r="N38" s="5"/>
    </row>
    <row r="39" spans="1:14" ht="30" customHeight="1" x14ac:dyDescent="0.3">
      <c r="A39" s="5" t="s">
        <v>1083</v>
      </c>
      <c r="B39" s="5" t="s">
        <v>570</v>
      </c>
      <c r="C39" s="29" t="s">
        <v>588</v>
      </c>
      <c r="D39" s="5" t="s">
        <v>1004</v>
      </c>
      <c r="E39" s="28">
        <f>TRUNC(일위대가!F252, 0)</f>
        <v>641</v>
      </c>
      <c r="F39" s="28">
        <f>TRUNC(일위대가!H252, 0)</f>
        <v>12827</v>
      </c>
      <c r="G39" s="28">
        <f>TRUNC(일위대가!J252, 0)</f>
        <v>0</v>
      </c>
      <c r="H39" s="28">
        <f t="shared" si="1"/>
        <v>13468</v>
      </c>
      <c r="I39" s="1" t="str">
        <f>HYPERLINK("#일위대가!A249", "호표 36")</f>
        <v>호표 36</v>
      </c>
      <c r="J39" s="29" t="s">
        <v>980</v>
      </c>
      <c r="K39" s="5" t="s">
        <v>823</v>
      </c>
      <c r="L39" s="5"/>
      <c r="M39" s="5" t="s">
        <v>980</v>
      </c>
      <c r="N39" s="5" t="s">
        <v>823</v>
      </c>
    </row>
    <row r="40" spans="1:14" ht="30" customHeight="1" x14ac:dyDescent="0.3">
      <c r="A40" s="5" t="s">
        <v>414</v>
      </c>
      <c r="B40" s="5" t="s">
        <v>570</v>
      </c>
      <c r="C40" s="29" t="s">
        <v>411</v>
      </c>
      <c r="D40" s="5" t="s">
        <v>1004</v>
      </c>
      <c r="E40" s="28">
        <f>TRUNC(일위대가!F258, 0)</f>
        <v>1892</v>
      </c>
      <c r="F40" s="28">
        <f>TRUNC(일위대가!H258, 0)</f>
        <v>37856</v>
      </c>
      <c r="G40" s="28">
        <f>TRUNC(일위대가!J258, 0)</f>
        <v>0</v>
      </c>
      <c r="H40" s="28">
        <f t="shared" si="1"/>
        <v>39748</v>
      </c>
      <c r="I40" s="1" t="str">
        <f>HYPERLINK("#일위대가!A254", "호표 37")</f>
        <v>호표 37</v>
      </c>
      <c r="J40" s="29"/>
      <c r="K40" s="5"/>
      <c r="L40" s="5"/>
      <c r="M40" s="5"/>
      <c r="N40" s="5"/>
    </row>
    <row r="41" spans="1:14" ht="30" customHeight="1" x14ac:dyDescent="0.3">
      <c r="A41" s="5" t="s">
        <v>540</v>
      </c>
      <c r="B41" s="5" t="s">
        <v>515</v>
      </c>
      <c r="C41" s="29" t="s">
        <v>823</v>
      </c>
      <c r="D41" s="5" t="s">
        <v>1004</v>
      </c>
      <c r="E41" s="28">
        <f>TRUNC(일위대가!F263, 0)</f>
        <v>192</v>
      </c>
      <c r="F41" s="28">
        <f>TRUNC(일위대가!H263, 0)</f>
        <v>3848</v>
      </c>
      <c r="G41" s="28">
        <f>TRUNC(일위대가!J263, 0)</f>
        <v>0</v>
      </c>
      <c r="H41" s="28">
        <f t="shared" si="1"/>
        <v>4040</v>
      </c>
      <c r="I41" s="1" t="str">
        <f>HYPERLINK("#일위대가!A260", "호표 38")</f>
        <v>호표 38</v>
      </c>
      <c r="J41" s="29" t="s">
        <v>980</v>
      </c>
      <c r="K41" s="5" t="s">
        <v>823</v>
      </c>
      <c r="L41" s="5"/>
      <c r="M41" s="5" t="s">
        <v>980</v>
      </c>
      <c r="N41" s="5" t="s">
        <v>823</v>
      </c>
    </row>
    <row r="42" spans="1:14" ht="30" customHeight="1" x14ac:dyDescent="0.3">
      <c r="A42" s="5" t="s">
        <v>720</v>
      </c>
      <c r="B42" s="5" t="s">
        <v>1003</v>
      </c>
      <c r="C42" s="29" t="s">
        <v>454</v>
      </c>
      <c r="D42" s="5" t="s">
        <v>547</v>
      </c>
      <c r="E42" s="28">
        <f>TRUNC(일위대가!F269, 0)</f>
        <v>14702</v>
      </c>
      <c r="F42" s="28">
        <f>TRUNC(일위대가!H269, 0)</f>
        <v>419996</v>
      </c>
      <c r="G42" s="28">
        <f>TRUNC(일위대가!J269, 0)</f>
        <v>61586</v>
      </c>
      <c r="H42" s="28">
        <f t="shared" si="1"/>
        <v>496284</v>
      </c>
      <c r="I42" s="1" t="str">
        <f>HYPERLINK("#일위대가!A265", "호표 39")</f>
        <v>호표 39</v>
      </c>
      <c r="J42" s="29" t="s">
        <v>495</v>
      </c>
      <c r="K42" s="5"/>
      <c r="L42" s="5"/>
      <c r="M42" s="5" t="s">
        <v>495</v>
      </c>
      <c r="N42" s="5"/>
    </row>
    <row r="43" spans="1:14" ht="30" customHeight="1" x14ac:dyDescent="0.3">
      <c r="A43" s="5" t="s">
        <v>645</v>
      </c>
      <c r="B43" s="5" t="s">
        <v>622</v>
      </c>
      <c r="C43" s="29" t="s">
        <v>1207</v>
      </c>
      <c r="D43" s="5" t="s">
        <v>1004</v>
      </c>
      <c r="E43" s="28">
        <f>TRUNC(일위대가!F275, 0)</f>
        <v>197</v>
      </c>
      <c r="F43" s="28">
        <f>TRUNC(일위대가!H275, 0)</f>
        <v>9866</v>
      </c>
      <c r="G43" s="28">
        <f>TRUNC(일위대가!J275, 0)</f>
        <v>0</v>
      </c>
      <c r="H43" s="28">
        <f t="shared" si="1"/>
        <v>10063</v>
      </c>
      <c r="I43" s="1" t="str">
        <f>HYPERLINK("#일위대가!A271", "호표 40")</f>
        <v>호표 40</v>
      </c>
      <c r="J43" s="29" t="s">
        <v>677</v>
      </c>
      <c r="K43" s="5"/>
      <c r="L43" s="5"/>
      <c r="M43" s="5" t="s">
        <v>677</v>
      </c>
      <c r="N43" s="5"/>
    </row>
    <row r="44" spans="1:14" ht="30" customHeight="1" x14ac:dyDescent="0.3">
      <c r="A44" s="5" t="s">
        <v>412</v>
      </c>
      <c r="B44" s="5" t="s">
        <v>910</v>
      </c>
      <c r="C44" s="29" t="s">
        <v>10</v>
      </c>
      <c r="D44" s="5" t="s">
        <v>1220</v>
      </c>
      <c r="E44" s="28">
        <f>TRUNC(일위대가!F282, 0)</f>
        <v>6027</v>
      </c>
      <c r="F44" s="28">
        <f>TRUNC(일위대가!H282, 0)</f>
        <v>123101</v>
      </c>
      <c r="G44" s="28">
        <f>TRUNC(일위대가!J282, 0)</f>
        <v>4689</v>
      </c>
      <c r="H44" s="28">
        <f t="shared" si="1"/>
        <v>133817</v>
      </c>
      <c r="I44" s="1" t="str">
        <f>HYPERLINK("#일위대가!A277", "호표 41")</f>
        <v>호표 41</v>
      </c>
      <c r="J44" s="29" t="s">
        <v>675</v>
      </c>
      <c r="K44" s="5"/>
      <c r="L44" s="5"/>
      <c r="M44" s="5" t="s">
        <v>675</v>
      </c>
      <c r="N44" s="5"/>
    </row>
    <row r="45" spans="1:14" ht="30" customHeight="1" x14ac:dyDescent="0.3">
      <c r="A45" s="5" t="s">
        <v>85</v>
      </c>
      <c r="B45" s="5" t="s">
        <v>1139</v>
      </c>
      <c r="C45" s="29" t="s">
        <v>10</v>
      </c>
      <c r="D45" s="5" t="s">
        <v>1220</v>
      </c>
      <c r="E45" s="28">
        <f>TRUNC(일위대가!F289, 0)</f>
        <v>2390</v>
      </c>
      <c r="F45" s="28">
        <f>TRUNC(일위대가!H289, 0)</f>
        <v>48556</v>
      </c>
      <c r="G45" s="28">
        <f>TRUNC(일위대가!J289, 0)</f>
        <v>1875</v>
      </c>
      <c r="H45" s="28">
        <f t="shared" si="1"/>
        <v>52821</v>
      </c>
      <c r="I45" s="1" t="str">
        <f>HYPERLINK("#일위대가!A284", "호표 42")</f>
        <v>호표 42</v>
      </c>
      <c r="J45" s="29" t="s">
        <v>675</v>
      </c>
      <c r="K45" s="5"/>
      <c r="L45" s="5"/>
      <c r="M45" s="5" t="s">
        <v>675</v>
      </c>
      <c r="N45" s="5"/>
    </row>
    <row r="46" spans="1:14" ht="30" customHeight="1" x14ac:dyDescent="0.3">
      <c r="A46" s="5" t="s">
        <v>483</v>
      </c>
      <c r="B46" s="5" t="s">
        <v>1225</v>
      </c>
      <c r="C46" s="29" t="s">
        <v>151</v>
      </c>
      <c r="D46" s="5" t="s">
        <v>1220</v>
      </c>
      <c r="E46" s="28">
        <f>TRUNC(일위대가!F295, 0)</f>
        <v>2642</v>
      </c>
      <c r="F46" s="28">
        <f>TRUNC(일위대가!H295, 0)</f>
        <v>88092</v>
      </c>
      <c r="G46" s="28">
        <f>TRUNC(일위대가!J295, 0)</f>
        <v>0</v>
      </c>
      <c r="H46" s="28">
        <f t="shared" si="1"/>
        <v>90734</v>
      </c>
      <c r="I46" s="1" t="str">
        <f>HYPERLINK("#일위대가!A291", "호표 43")</f>
        <v>호표 43</v>
      </c>
      <c r="J46" s="29" t="s">
        <v>998</v>
      </c>
      <c r="K46" s="5"/>
      <c r="L46" s="5"/>
      <c r="M46" s="5" t="s">
        <v>998</v>
      </c>
      <c r="N46" s="5"/>
    </row>
    <row r="47" spans="1:14" ht="30" customHeight="1" x14ac:dyDescent="0.3">
      <c r="A47" s="5" t="s">
        <v>874</v>
      </c>
      <c r="B47" s="5" t="s">
        <v>1025</v>
      </c>
      <c r="C47" s="29" t="s">
        <v>151</v>
      </c>
      <c r="D47" s="5" t="s">
        <v>1220</v>
      </c>
      <c r="E47" s="28">
        <f>TRUNC(일위대가!F301, 0)</f>
        <v>1044</v>
      </c>
      <c r="F47" s="28">
        <f>TRUNC(일위대가!H301, 0)</f>
        <v>34802</v>
      </c>
      <c r="G47" s="28">
        <f>TRUNC(일위대가!J301, 0)</f>
        <v>0</v>
      </c>
      <c r="H47" s="28">
        <f t="shared" si="1"/>
        <v>35846</v>
      </c>
      <c r="I47" s="1" t="str">
        <f>HYPERLINK("#일위대가!A297", "호표 44")</f>
        <v>호표 44</v>
      </c>
      <c r="J47" s="29" t="s">
        <v>998</v>
      </c>
      <c r="K47" s="5"/>
      <c r="L47" s="5"/>
      <c r="M47" s="5" t="s">
        <v>998</v>
      </c>
      <c r="N47" s="5"/>
    </row>
    <row r="48" spans="1:14" ht="30" customHeight="1" x14ac:dyDescent="0.3">
      <c r="A48" s="5" t="s">
        <v>984</v>
      </c>
      <c r="B48" s="5" t="s">
        <v>787</v>
      </c>
      <c r="C48" s="29" t="s">
        <v>897</v>
      </c>
      <c r="D48" s="5" t="s">
        <v>1001</v>
      </c>
      <c r="E48" s="28">
        <f>TRUNC(일위대가!F306, 0)</f>
        <v>0</v>
      </c>
      <c r="F48" s="28">
        <f>TRUNC(일위대가!H306, 0)</f>
        <v>155690</v>
      </c>
      <c r="G48" s="28">
        <f>TRUNC(일위대가!J306, 0)</f>
        <v>0</v>
      </c>
      <c r="H48" s="28">
        <f t="shared" si="1"/>
        <v>155690</v>
      </c>
      <c r="I48" s="1" t="str">
        <f>HYPERLINK("#일위대가!A303", "호표 45")</f>
        <v>호표 45</v>
      </c>
      <c r="J48" s="29" t="s">
        <v>109</v>
      </c>
      <c r="K48" s="5"/>
      <c r="L48" s="5"/>
      <c r="M48" s="5" t="s">
        <v>109</v>
      </c>
      <c r="N48" s="5"/>
    </row>
    <row r="49" spans="1:14" ht="30" customHeight="1" x14ac:dyDescent="0.3">
      <c r="A49" s="5" t="s">
        <v>380</v>
      </c>
      <c r="B49" s="5" t="s">
        <v>50</v>
      </c>
      <c r="C49" s="29" t="s">
        <v>247</v>
      </c>
      <c r="D49" s="5" t="s">
        <v>1004</v>
      </c>
      <c r="E49" s="28">
        <f>TRUNC(일위대가!F312, 0)</f>
        <v>0</v>
      </c>
      <c r="F49" s="28">
        <f>TRUNC(일위대가!H312, 0)</f>
        <v>11809</v>
      </c>
      <c r="G49" s="28">
        <f>TRUNC(일위대가!J312, 0)</f>
        <v>236</v>
      </c>
      <c r="H49" s="28">
        <f t="shared" si="1"/>
        <v>12045</v>
      </c>
      <c r="I49" s="1" t="str">
        <f>HYPERLINK("#일위대가!A308", "호표 46")</f>
        <v>호표 46</v>
      </c>
      <c r="J49" s="29" t="s">
        <v>823</v>
      </c>
      <c r="K49" s="5" t="s">
        <v>823</v>
      </c>
      <c r="L49" s="5"/>
      <c r="M49" s="5" t="s">
        <v>823</v>
      </c>
      <c r="N49" s="5" t="s">
        <v>823</v>
      </c>
    </row>
    <row r="50" spans="1:14" ht="30" customHeight="1" x14ac:dyDescent="0.3">
      <c r="A50" s="5" t="s">
        <v>69</v>
      </c>
      <c r="B50" s="5" t="s">
        <v>50</v>
      </c>
      <c r="C50" s="29" t="s">
        <v>247</v>
      </c>
      <c r="D50" s="5" t="s">
        <v>1004</v>
      </c>
      <c r="E50" s="28">
        <f>TRUNC(일위대가!F321, 0)</f>
        <v>752</v>
      </c>
      <c r="F50" s="28">
        <f>TRUNC(일위대가!H321, 0)</f>
        <v>11809</v>
      </c>
      <c r="G50" s="28">
        <f>TRUNC(일위대가!J321, 0)</f>
        <v>236</v>
      </c>
      <c r="H50" s="28">
        <f t="shared" si="1"/>
        <v>12797</v>
      </c>
      <c r="I50" s="1" t="str">
        <f>HYPERLINK("#일위대가!A314", "호표 47")</f>
        <v>호표 47</v>
      </c>
      <c r="J50" s="29" t="s">
        <v>823</v>
      </c>
      <c r="K50" s="5" t="s">
        <v>823</v>
      </c>
      <c r="L50" s="5"/>
      <c r="M50" s="5" t="s">
        <v>823</v>
      </c>
      <c r="N50" s="5" t="s">
        <v>823</v>
      </c>
    </row>
    <row r="51" spans="1:14" ht="30" customHeight="1" x14ac:dyDescent="0.3">
      <c r="A51" s="5" t="s">
        <v>61</v>
      </c>
      <c r="B51" s="5" t="s">
        <v>799</v>
      </c>
      <c r="C51" s="29" t="s">
        <v>823</v>
      </c>
      <c r="D51" s="5" t="s">
        <v>1004</v>
      </c>
      <c r="E51" s="28">
        <f>TRUNC(일위대가!F327, 0)</f>
        <v>1485</v>
      </c>
      <c r="F51" s="28">
        <f>TRUNC(일위대가!H327, 0)</f>
        <v>3100</v>
      </c>
      <c r="G51" s="28">
        <f>TRUNC(일위대가!J327, 0)</f>
        <v>0</v>
      </c>
      <c r="H51" s="28">
        <f t="shared" si="1"/>
        <v>4585</v>
      </c>
      <c r="I51" s="1" t="str">
        <f>HYPERLINK("#일위대가!A323", "호표 48")</f>
        <v>호표 48</v>
      </c>
      <c r="J51" s="29"/>
      <c r="K51" s="5"/>
      <c r="L51" s="5"/>
      <c r="M51" s="5"/>
      <c r="N51" s="5"/>
    </row>
    <row r="52" spans="1:14" ht="30" customHeight="1" x14ac:dyDescent="0.3">
      <c r="A52" s="5" t="s">
        <v>676</v>
      </c>
      <c r="B52" s="5" t="s">
        <v>431</v>
      </c>
      <c r="C52" s="29" t="s">
        <v>351</v>
      </c>
      <c r="D52" s="5" t="s">
        <v>1114</v>
      </c>
      <c r="E52" s="28">
        <f>TRUNC(일위대가!F331, 0)</f>
        <v>0</v>
      </c>
      <c r="F52" s="28">
        <f>TRUNC(일위대가!H331, 0)</f>
        <v>27961</v>
      </c>
      <c r="G52" s="28">
        <f>TRUNC(일위대가!J331, 0)</f>
        <v>0</v>
      </c>
      <c r="H52" s="28">
        <f t="shared" si="1"/>
        <v>27961</v>
      </c>
      <c r="I52" s="1" t="str">
        <f>HYPERLINK("#일위대가!A329", "호표 49")</f>
        <v>호표 49</v>
      </c>
      <c r="J52" s="29" t="s">
        <v>803</v>
      </c>
      <c r="K52" s="5"/>
      <c r="L52" s="5"/>
      <c r="M52" s="5" t="s">
        <v>803</v>
      </c>
      <c r="N52" s="5"/>
    </row>
    <row r="53" spans="1:14" ht="30" customHeight="1" x14ac:dyDescent="0.3">
      <c r="A53" s="5" t="s">
        <v>1253</v>
      </c>
      <c r="B53" s="5" t="s">
        <v>159</v>
      </c>
      <c r="C53" s="29" t="s">
        <v>823</v>
      </c>
      <c r="D53" s="5" t="s">
        <v>835</v>
      </c>
      <c r="E53" s="28">
        <f>TRUNC(일위대가!F336, 0)</f>
        <v>462</v>
      </c>
      <c r="F53" s="28">
        <f>TRUNC(일위대가!H336, 0)</f>
        <v>2796</v>
      </c>
      <c r="G53" s="28">
        <f>TRUNC(일위대가!J336, 0)</f>
        <v>0</v>
      </c>
      <c r="H53" s="28">
        <f t="shared" si="1"/>
        <v>3258</v>
      </c>
      <c r="I53" s="1" t="str">
        <f>HYPERLINK("#일위대가!A333", "호표 50")</f>
        <v>호표 50</v>
      </c>
      <c r="J53" s="29" t="s">
        <v>803</v>
      </c>
      <c r="K53" s="5" t="s">
        <v>823</v>
      </c>
      <c r="L53" s="5"/>
      <c r="M53" s="5" t="s">
        <v>803</v>
      </c>
      <c r="N53" s="5" t="s">
        <v>823</v>
      </c>
    </row>
    <row r="54" spans="1:14" ht="30" customHeight="1" x14ac:dyDescent="0.3">
      <c r="A54" s="5" t="s">
        <v>291</v>
      </c>
      <c r="B54" s="5" t="s">
        <v>530</v>
      </c>
      <c r="C54" s="29" t="s">
        <v>247</v>
      </c>
      <c r="D54" s="5" t="s">
        <v>1004</v>
      </c>
      <c r="E54" s="28">
        <f>TRUNC(일위대가!F341, 0)</f>
        <v>0</v>
      </c>
      <c r="F54" s="28">
        <f>TRUNC(일위대가!H341, 0)</f>
        <v>12894</v>
      </c>
      <c r="G54" s="28">
        <f>TRUNC(일위대가!J341, 0)</f>
        <v>0</v>
      </c>
      <c r="H54" s="28">
        <f t="shared" si="1"/>
        <v>12894</v>
      </c>
      <c r="I54" s="1" t="str">
        <f>HYPERLINK("#일위대가!A338", "호표 51")</f>
        <v>호표 51</v>
      </c>
      <c r="J54" s="29" t="s">
        <v>823</v>
      </c>
      <c r="K54" s="5"/>
      <c r="L54" s="5"/>
      <c r="M54" s="5" t="s">
        <v>823</v>
      </c>
      <c r="N54" s="5"/>
    </row>
    <row r="55" spans="1:14" ht="30" customHeight="1" x14ac:dyDescent="0.3">
      <c r="A55" s="5" t="s">
        <v>254</v>
      </c>
      <c r="B55" s="5" t="s">
        <v>450</v>
      </c>
      <c r="C55" s="29" t="s">
        <v>944</v>
      </c>
      <c r="D55" s="5" t="s">
        <v>1312</v>
      </c>
      <c r="E55" s="28">
        <f>TRUNC(일위대가!F348, 0)</f>
        <v>12303</v>
      </c>
      <c r="F55" s="28">
        <f>TRUNC(일위대가!H348, 0)</f>
        <v>0</v>
      </c>
      <c r="G55" s="28">
        <f>TRUNC(일위대가!J348, 0)</f>
        <v>0</v>
      </c>
      <c r="H55" s="28">
        <f t="shared" si="1"/>
        <v>12303</v>
      </c>
      <c r="I55" s="1" t="str">
        <f>HYPERLINK("#일위대가!A343", "호표 52")</f>
        <v>호표 52</v>
      </c>
      <c r="J55" s="29" t="s">
        <v>721</v>
      </c>
      <c r="K55" s="5"/>
      <c r="L55" s="5"/>
      <c r="M55" s="5" t="s">
        <v>721</v>
      </c>
      <c r="N55" s="5"/>
    </row>
    <row r="56" spans="1:14" ht="30" customHeight="1" x14ac:dyDescent="0.3">
      <c r="A56" s="5" t="s">
        <v>1194</v>
      </c>
      <c r="B56" s="5" t="s">
        <v>549</v>
      </c>
      <c r="C56" s="29" t="s">
        <v>917</v>
      </c>
      <c r="D56" s="5" t="s">
        <v>1004</v>
      </c>
      <c r="E56" s="28">
        <f>TRUNC(일위대가!F354, 0)</f>
        <v>681</v>
      </c>
      <c r="F56" s="28">
        <f>TRUNC(일위대가!H354, 0)</f>
        <v>34074</v>
      </c>
      <c r="G56" s="28">
        <f>TRUNC(일위대가!J354, 0)</f>
        <v>0</v>
      </c>
      <c r="H56" s="28">
        <f t="shared" si="1"/>
        <v>34755</v>
      </c>
      <c r="I56" s="1" t="str">
        <f>HYPERLINK("#일위대가!A350", "호표 53")</f>
        <v>호표 53</v>
      </c>
      <c r="J56" s="29" t="s">
        <v>794</v>
      </c>
      <c r="K56" s="5"/>
      <c r="L56" s="5"/>
      <c r="M56" s="5" t="s">
        <v>794</v>
      </c>
      <c r="N56" s="5"/>
    </row>
    <row r="57" spans="1:14" ht="30" customHeight="1" x14ac:dyDescent="0.3">
      <c r="A57" s="5" t="s">
        <v>956</v>
      </c>
      <c r="B57" s="5" t="s">
        <v>209</v>
      </c>
      <c r="C57" s="29" t="s">
        <v>1120</v>
      </c>
      <c r="D57" s="5" t="s">
        <v>1004</v>
      </c>
      <c r="E57" s="28">
        <f>TRUNC(일위대가!F360, 0)</f>
        <v>628</v>
      </c>
      <c r="F57" s="28">
        <f>TRUNC(일위대가!H360, 0)</f>
        <v>10477</v>
      </c>
      <c r="G57" s="28">
        <f>TRUNC(일위대가!J360, 0)</f>
        <v>0</v>
      </c>
      <c r="H57" s="28">
        <f t="shared" si="1"/>
        <v>11105</v>
      </c>
      <c r="I57" s="1" t="str">
        <f>HYPERLINK("#일위대가!A356", "호표 54")</f>
        <v>호표 54</v>
      </c>
      <c r="J57" s="29" t="s">
        <v>25</v>
      </c>
      <c r="K57" s="5"/>
      <c r="L57" s="5"/>
      <c r="M57" s="5" t="s">
        <v>25</v>
      </c>
      <c r="N57" s="5"/>
    </row>
    <row r="58" spans="1:14" ht="30" customHeight="1" x14ac:dyDescent="0.3">
      <c r="A58" s="5" t="s">
        <v>188</v>
      </c>
      <c r="B58" s="5" t="s">
        <v>788</v>
      </c>
      <c r="C58" s="29" t="s">
        <v>943</v>
      </c>
      <c r="D58" s="5" t="s">
        <v>547</v>
      </c>
      <c r="E58" s="28">
        <f>TRUNC(일위대가!F365, 0)</f>
        <v>0</v>
      </c>
      <c r="F58" s="28">
        <f>TRUNC(일위대가!H365, 0)</f>
        <v>40321</v>
      </c>
      <c r="G58" s="28">
        <f>TRUNC(일위대가!J365, 0)</f>
        <v>0</v>
      </c>
      <c r="H58" s="28">
        <f t="shared" si="1"/>
        <v>40321</v>
      </c>
      <c r="I58" s="1" t="str">
        <f>HYPERLINK("#일위대가!A362", "호표 55")</f>
        <v>호표 55</v>
      </c>
      <c r="J58" s="29" t="s">
        <v>324</v>
      </c>
      <c r="K58" s="5"/>
      <c r="L58" s="5"/>
      <c r="M58" s="5" t="s">
        <v>324</v>
      </c>
      <c r="N58" s="5"/>
    </row>
    <row r="59" spans="1:14" ht="30" customHeight="1" x14ac:dyDescent="0.3">
      <c r="A59" s="5" t="s">
        <v>248</v>
      </c>
      <c r="B59" s="5" t="s">
        <v>348</v>
      </c>
      <c r="C59" s="29" t="s">
        <v>1108</v>
      </c>
      <c r="D59" s="5" t="s">
        <v>298</v>
      </c>
      <c r="E59" s="28">
        <f>TRUNC(일위대가!F372, 0)</f>
        <v>8420</v>
      </c>
      <c r="F59" s="28">
        <f>TRUNC(일위대가!H372, 0)</f>
        <v>58296</v>
      </c>
      <c r="G59" s="28">
        <f>TRUNC(일위대가!J372, 0)</f>
        <v>13399</v>
      </c>
      <c r="H59" s="28">
        <f t="shared" si="1"/>
        <v>80115</v>
      </c>
      <c r="I59" s="1" t="str">
        <f>HYPERLINK("#일위대가!A367", "호표 56")</f>
        <v>호표 56</v>
      </c>
      <c r="J59" s="29" t="s">
        <v>600</v>
      </c>
      <c r="K59" s="5" t="s">
        <v>1075</v>
      </c>
      <c r="L59" s="5"/>
      <c r="M59" s="5" t="s">
        <v>600</v>
      </c>
      <c r="N59" s="5" t="s">
        <v>904</v>
      </c>
    </row>
    <row r="60" spans="1:14" ht="30" customHeight="1" x14ac:dyDescent="0.3">
      <c r="A60" s="5" t="s">
        <v>1261</v>
      </c>
      <c r="B60" s="5" t="s">
        <v>1216</v>
      </c>
      <c r="C60" s="29" t="s">
        <v>1213</v>
      </c>
      <c r="D60" s="5" t="s">
        <v>298</v>
      </c>
      <c r="E60" s="28">
        <f>TRUNC(일위대가!F379, 0)</f>
        <v>7351</v>
      </c>
      <c r="F60" s="28">
        <f>TRUNC(일위대가!H379, 0)</f>
        <v>58296</v>
      </c>
      <c r="G60" s="28">
        <f>TRUNC(일위대가!J379, 0)</f>
        <v>30793</v>
      </c>
      <c r="H60" s="28">
        <f t="shared" si="1"/>
        <v>96440</v>
      </c>
      <c r="I60" s="1" t="str">
        <f>HYPERLINK("#일위대가!A374", "호표 57")</f>
        <v>호표 57</v>
      </c>
      <c r="J60" s="29" t="s">
        <v>307</v>
      </c>
      <c r="K60" s="5" t="s">
        <v>1075</v>
      </c>
      <c r="L60" s="5"/>
      <c r="M60" s="5" t="s">
        <v>307</v>
      </c>
      <c r="N60" s="5" t="s">
        <v>904</v>
      </c>
    </row>
    <row r="61" spans="1:14" ht="30" customHeight="1" x14ac:dyDescent="0.3">
      <c r="A61" s="5" t="s">
        <v>87</v>
      </c>
      <c r="B61" s="5" t="s">
        <v>1216</v>
      </c>
      <c r="C61" s="29" t="s">
        <v>152</v>
      </c>
      <c r="D61" s="5" t="s">
        <v>298</v>
      </c>
      <c r="E61" s="28">
        <f>TRUNC(일위대가!F386, 0)</f>
        <v>10446</v>
      </c>
      <c r="F61" s="28">
        <f>TRUNC(일위대가!H386, 0)</f>
        <v>58296</v>
      </c>
      <c r="G61" s="28">
        <f>TRUNC(일위대가!J386, 0)</f>
        <v>52687</v>
      </c>
      <c r="H61" s="28">
        <f t="shared" si="1"/>
        <v>121429</v>
      </c>
      <c r="I61" s="1" t="str">
        <f>HYPERLINK("#일위대가!A381", "호표 58")</f>
        <v>호표 58</v>
      </c>
      <c r="J61" s="29" t="s">
        <v>307</v>
      </c>
      <c r="K61" s="5" t="s">
        <v>1075</v>
      </c>
      <c r="L61" s="5"/>
      <c r="M61" s="5" t="s">
        <v>307</v>
      </c>
      <c r="N61" s="5" t="s">
        <v>904</v>
      </c>
    </row>
    <row r="62" spans="1:14" ht="30" customHeight="1" x14ac:dyDescent="0.3">
      <c r="A62" s="5" t="s">
        <v>909</v>
      </c>
      <c r="B62" s="5" t="s">
        <v>1216</v>
      </c>
      <c r="C62" s="29" t="s">
        <v>942</v>
      </c>
      <c r="D62" s="5" t="s">
        <v>298</v>
      </c>
      <c r="E62" s="28">
        <f>TRUNC(일위대가!F393, 0)</f>
        <v>21851</v>
      </c>
      <c r="F62" s="28">
        <f>TRUNC(일위대가!H393, 0)</f>
        <v>58296</v>
      </c>
      <c r="G62" s="28">
        <f>TRUNC(일위대가!J393, 0)</f>
        <v>88909</v>
      </c>
      <c r="H62" s="28">
        <f t="shared" si="1"/>
        <v>169056</v>
      </c>
      <c r="I62" s="1" t="str">
        <f>HYPERLINK("#일위대가!A388", "호표 59")</f>
        <v>호표 59</v>
      </c>
      <c r="J62" s="29" t="s">
        <v>307</v>
      </c>
      <c r="K62" s="5" t="s">
        <v>1075</v>
      </c>
      <c r="L62" s="5"/>
      <c r="M62" s="5" t="s">
        <v>307</v>
      </c>
      <c r="N62" s="5" t="s">
        <v>904</v>
      </c>
    </row>
    <row r="63" spans="1:14" ht="30" customHeight="1" x14ac:dyDescent="0.3">
      <c r="A63" s="5" t="s">
        <v>16</v>
      </c>
      <c r="B63" s="5" t="s">
        <v>712</v>
      </c>
      <c r="C63" s="29" t="s">
        <v>1213</v>
      </c>
      <c r="D63" s="5" t="s">
        <v>298</v>
      </c>
      <c r="E63" s="28">
        <f>TRUNC(일위대가!F400, 0)</f>
        <v>17202</v>
      </c>
      <c r="F63" s="28">
        <f>TRUNC(일위대가!H400, 0)</f>
        <v>50142</v>
      </c>
      <c r="G63" s="28">
        <f>TRUNC(일위대가!J400, 0)</f>
        <v>22539</v>
      </c>
      <c r="H63" s="28">
        <f t="shared" si="1"/>
        <v>89883</v>
      </c>
      <c r="I63" s="1" t="str">
        <f>HYPERLINK("#일위대가!A395", "호표 60")</f>
        <v>호표 60</v>
      </c>
      <c r="J63" s="29" t="s">
        <v>88</v>
      </c>
      <c r="K63" s="5" t="s">
        <v>1075</v>
      </c>
      <c r="L63" s="5"/>
      <c r="M63" s="5" t="s">
        <v>88</v>
      </c>
      <c r="N63" s="5" t="s">
        <v>904</v>
      </c>
    </row>
    <row r="64" spans="1:14" ht="30" customHeight="1" x14ac:dyDescent="0.3">
      <c r="A64" s="5" t="s">
        <v>755</v>
      </c>
      <c r="B64" s="5" t="s">
        <v>941</v>
      </c>
      <c r="C64" s="29" t="s">
        <v>152</v>
      </c>
      <c r="D64" s="5" t="s">
        <v>298</v>
      </c>
      <c r="E64" s="28">
        <f>TRUNC(일위대가!F407, 0)</f>
        <v>31921</v>
      </c>
      <c r="F64" s="28">
        <f>TRUNC(일위대가!H407, 0)</f>
        <v>58296</v>
      </c>
      <c r="G64" s="28">
        <f>TRUNC(일위대가!J407, 0)</f>
        <v>16873</v>
      </c>
      <c r="H64" s="28">
        <f t="shared" si="1"/>
        <v>107090</v>
      </c>
      <c r="I64" s="1" t="str">
        <f>HYPERLINK("#일위대가!A402", "호표 61")</f>
        <v>호표 61</v>
      </c>
      <c r="J64" s="29" t="s">
        <v>1080</v>
      </c>
      <c r="K64" s="5" t="s">
        <v>1075</v>
      </c>
      <c r="L64" s="5"/>
      <c r="M64" s="5" t="s">
        <v>1080</v>
      </c>
      <c r="N64" s="5" t="s">
        <v>904</v>
      </c>
    </row>
    <row r="65" spans="1:14" ht="30" customHeight="1" x14ac:dyDescent="0.3">
      <c r="A65" s="5" t="s">
        <v>297</v>
      </c>
      <c r="B65" s="5" t="s">
        <v>1094</v>
      </c>
      <c r="C65" s="29" t="s">
        <v>247</v>
      </c>
      <c r="D65" s="5" t="s">
        <v>1004</v>
      </c>
      <c r="E65" s="28">
        <f>TRUNC(일위대가!F412, 0)</f>
        <v>0</v>
      </c>
      <c r="F65" s="28">
        <f>TRUNC(일위대가!H412, 0)</f>
        <v>7302</v>
      </c>
      <c r="G65" s="28">
        <f>TRUNC(일위대가!J412, 0)</f>
        <v>0</v>
      </c>
      <c r="H65" s="28">
        <f t="shared" si="1"/>
        <v>7302</v>
      </c>
      <c r="I65" s="1" t="str">
        <f>HYPERLINK("#일위대가!A409", "호표 62")</f>
        <v>호표 62</v>
      </c>
      <c r="J65" s="29" t="s">
        <v>823</v>
      </c>
      <c r="K65" s="5"/>
      <c r="L65" s="5"/>
      <c r="M65" s="5" t="s">
        <v>823</v>
      </c>
      <c r="N65" s="5"/>
    </row>
    <row r="66" spans="1:14" ht="30" customHeight="1" x14ac:dyDescent="0.3">
      <c r="A66" s="5" t="s">
        <v>565</v>
      </c>
      <c r="B66" s="5" t="s">
        <v>211</v>
      </c>
      <c r="C66" s="29" t="s">
        <v>319</v>
      </c>
      <c r="D66" s="5" t="s">
        <v>1004</v>
      </c>
      <c r="E66" s="28">
        <f>TRUNC(일위대가!F422, 0)</f>
        <v>1637</v>
      </c>
      <c r="F66" s="28">
        <f>TRUNC(일위대가!H422, 0)</f>
        <v>7302</v>
      </c>
      <c r="G66" s="28">
        <f>TRUNC(일위대가!J422, 0)</f>
        <v>0</v>
      </c>
      <c r="H66" s="28">
        <f t="shared" si="1"/>
        <v>8939</v>
      </c>
      <c r="I66" s="1" t="str">
        <f>HYPERLINK("#일위대가!A414", "호표 63")</f>
        <v>호표 63</v>
      </c>
      <c r="J66" s="29" t="s">
        <v>823</v>
      </c>
      <c r="K66" s="5"/>
      <c r="L66" s="5"/>
      <c r="M66" s="5" t="s">
        <v>823</v>
      </c>
      <c r="N66" s="5"/>
    </row>
    <row r="67" spans="1:14" ht="30" customHeight="1" x14ac:dyDescent="0.3">
      <c r="A67" s="5" t="s">
        <v>1235</v>
      </c>
      <c r="B67" s="5" t="s">
        <v>1314</v>
      </c>
      <c r="C67" s="29" t="s">
        <v>1295</v>
      </c>
      <c r="D67" s="5" t="s">
        <v>1004</v>
      </c>
      <c r="E67" s="28">
        <f>TRUNC(일위대가!F428, 0)</f>
        <v>43</v>
      </c>
      <c r="F67" s="28">
        <f>TRUNC(일위대가!H428, 0)</f>
        <v>1462</v>
      </c>
      <c r="G67" s="28">
        <f>TRUNC(일위대가!J428, 0)</f>
        <v>0</v>
      </c>
      <c r="H67" s="28">
        <f t="shared" si="1"/>
        <v>1505</v>
      </c>
      <c r="I67" s="1" t="str">
        <f>HYPERLINK("#일위대가!A424", "호표 64")</f>
        <v>호표 64</v>
      </c>
      <c r="J67" s="29" t="s">
        <v>823</v>
      </c>
      <c r="K67" s="5"/>
      <c r="L67" s="5"/>
      <c r="M67" s="5" t="s">
        <v>823</v>
      </c>
      <c r="N67" s="5"/>
    </row>
    <row r="68" spans="1:14" ht="30" customHeight="1" x14ac:dyDescent="0.3">
      <c r="A68" s="5" t="s">
        <v>504</v>
      </c>
      <c r="B68" s="5" t="s">
        <v>1314</v>
      </c>
      <c r="C68" s="29" t="s">
        <v>396</v>
      </c>
      <c r="D68" s="5" t="s">
        <v>1004</v>
      </c>
      <c r="E68" s="28">
        <f>TRUNC(일위대가!F433, 0)</f>
        <v>293</v>
      </c>
      <c r="F68" s="28">
        <f>TRUNC(일위대가!H433, 0)</f>
        <v>1462</v>
      </c>
      <c r="G68" s="28">
        <f>TRUNC(일위대가!J433, 0)</f>
        <v>0</v>
      </c>
      <c r="H68" s="28">
        <f t="shared" ref="H68:H71" si="2">TRUNC(E68+F68+G68, 0)</f>
        <v>1755</v>
      </c>
      <c r="I68" s="1" t="str">
        <f>HYPERLINK("#일위대가!A430", "호표 65")</f>
        <v>호표 65</v>
      </c>
      <c r="J68" s="29" t="s">
        <v>823</v>
      </c>
      <c r="K68" s="5"/>
      <c r="L68" s="5"/>
      <c r="M68" s="5" t="s">
        <v>823</v>
      </c>
      <c r="N68" s="5"/>
    </row>
    <row r="69" spans="1:14" ht="30" customHeight="1" x14ac:dyDescent="0.3">
      <c r="A69" s="5" t="s">
        <v>410</v>
      </c>
      <c r="B69" s="5" t="s">
        <v>192</v>
      </c>
      <c r="C69" s="29" t="s">
        <v>396</v>
      </c>
      <c r="D69" s="5" t="s">
        <v>1004</v>
      </c>
      <c r="E69" s="28">
        <f>TRUNC(일위대가!F437, 0)</f>
        <v>250</v>
      </c>
      <c r="F69" s="28">
        <f>TRUNC(일위대가!H437, 0)</f>
        <v>0</v>
      </c>
      <c r="G69" s="28">
        <f>TRUNC(일위대가!J437, 0)</f>
        <v>0</v>
      </c>
      <c r="H69" s="28">
        <f t="shared" si="2"/>
        <v>250</v>
      </c>
      <c r="I69" s="1" t="str">
        <f>HYPERLINK("#일위대가!A435", "호표 66")</f>
        <v>호표 66</v>
      </c>
      <c r="J69" s="29" t="s">
        <v>823</v>
      </c>
      <c r="K69" s="5"/>
      <c r="L69" s="5"/>
      <c r="M69" s="5" t="s">
        <v>823</v>
      </c>
      <c r="N69" s="5"/>
    </row>
    <row r="70" spans="1:14" ht="30" customHeight="1" x14ac:dyDescent="0.3">
      <c r="A70" s="5" t="s">
        <v>1189</v>
      </c>
      <c r="B70" s="5" t="s">
        <v>1222</v>
      </c>
      <c r="C70" s="29" t="s">
        <v>467</v>
      </c>
      <c r="D70" s="5" t="s">
        <v>547</v>
      </c>
      <c r="E70" s="28">
        <f>TRUNC(일위대가!F442, 0)</f>
        <v>0</v>
      </c>
      <c r="F70" s="28">
        <f>TRUNC(일위대가!H442, 0)</f>
        <v>0</v>
      </c>
      <c r="G70" s="28">
        <f>TRUNC(일위대가!J442, 0)</f>
        <v>248142</v>
      </c>
      <c r="H70" s="28">
        <f t="shared" si="2"/>
        <v>248142</v>
      </c>
      <c r="I70" s="1" t="str">
        <f>HYPERLINK("#일위대가!A439", "호표 67")</f>
        <v>호표 67</v>
      </c>
      <c r="J70" s="29" t="s">
        <v>495</v>
      </c>
      <c r="K70" s="5"/>
      <c r="L70" s="5"/>
      <c r="M70" s="5" t="s">
        <v>495</v>
      </c>
      <c r="N70" s="5"/>
    </row>
    <row r="71" spans="1:14" ht="30" customHeight="1" x14ac:dyDescent="0.3">
      <c r="A71" s="5" t="s">
        <v>1071</v>
      </c>
      <c r="B71" s="5" t="s">
        <v>655</v>
      </c>
      <c r="C71" s="29" t="s">
        <v>467</v>
      </c>
      <c r="D71" s="5" t="s">
        <v>547</v>
      </c>
      <c r="E71" s="28">
        <f>TRUNC(일위대가!F447, 0)</f>
        <v>0</v>
      </c>
      <c r="F71" s="28">
        <f>TRUNC(일위대가!H447, 0)</f>
        <v>0</v>
      </c>
      <c r="G71" s="28">
        <f>TRUNC(일위대가!J447, 0)</f>
        <v>248142</v>
      </c>
      <c r="H71" s="28">
        <f t="shared" si="2"/>
        <v>248142</v>
      </c>
      <c r="I71" s="1" t="str">
        <f>HYPERLINK("#일위대가!A444", "호표 68")</f>
        <v>호표 68</v>
      </c>
      <c r="J71" s="29" t="s">
        <v>495</v>
      </c>
      <c r="K71" s="5"/>
      <c r="L71" s="5"/>
      <c r="M71" s="5" t="s">
        <v>495</v>
      </c>
      <c r="N71" s="5"/>
    </row>
  </sheetData>
  <mergeCells count="2">
    <mergeCell ref="A1:J1"/>
    <mergeCell ref="A2:J2"/>
  </mergeCells>
  <phoneticPr fontId="8" type="noConversion"/>
  <printOptions horizontalCentered="1"/>
  <pageMargins left="0.59055118110236227" right="0.19685039370078741" top="0.47244094488188981" bottom="0.27559055118110237" header="0" footer="0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AB447"/>
  <sheetViews>
    <sheetView view="pageBreakPreview" topLeftCell="A76" zoomScale="70" zoomScaleNormal="100" zoomScaleSheetLayoutView="70" workbookViewId="0">
      <selection activeCell="A91" sqref="A91:M91"/>
    </sheetView>
  </sheetViews>
  <sheetFormatPr defaultColWidth="9.125" defaultRowHeight="29.1" customHeight="1" x14ac:dyDescent="0.3"/>
  <cols>
    <col min="1" max="1" width="30.625" customWidth="1"/>
    <col min="2" max="2" width="37.375" customWidth="1"/>
    <col min="3" max="3" width="4.625" customWidth="1"/>
    <col min="4" max="4" width="8.625" customWidth="1"/>
    <col min="5" max="12" width="13.625" customWidth="1"/>
    <col min="13" max="13" width="9" customWidth="1"/>
    <col min="14" max="28" width="9.125" hidden="1"/>
  </cols>
  <sheetData>
    <row r="1" spans="1:28" ht="29.1" customHeight="1" x14ac:dyDescent="0.3">
      <c r="A1" s="32" t="s">
        <v>715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8" ht="29.1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8" ht="29.1" customHeight="1" x14ac:dyDescent="0.3">
      <c r="A3" s="44" t="s">
        <v>1124</v>
      </c>
      <c r="B3" s="44" t="s">
        <v>4</v>
      </c>
      <c r="C3" s="44" t="s">
        <v>1015</v>
      </c>
      <c r="D3" s="44" t="s">
        <v>614</v>
      </c>
      <c r="E3" s="34" t="s">
        <v>906</v>
      </c>
      <c r="F3" s="36"/>
      <c r="G3" s="34" t="s">
        <v>713</v>
      </c>
      <c r="H3" s="36"/>
      <c r="I3" s="34" t="s">
        <v>696</v>
      </c>
      <c r="J3" s="36"/>
      <c r="K3" s="34" t="s">
        <v>1017</v>
      </c>
      <c r="L3" s="36"/>
      <c r="M3" s="44" t="s">
        <v>628</v>
      </c>
      <c r="N3" s="46" t="s">
        <v>773</v>
      </c>
      <c r="O3" s="47" t="s">
        <v>890</v>
      </c>
      <c r="P3" s="47" t="s">
        <v>989</v>
      </c>
      <c r="Q3" s="47" t="s">
        <v>1206</v>
      </c>
      <c r="R3" s="47" t="s">
        <v>509</v>
      </c>
      <c r="S3" s="47" t="s">
        <v>673</v>
      </c>
      <c r="T3" s="47" t="s">
        <v>114</v>
      </c>
      <c r="U3" s="47" t="s">
        <v>599</v>
      </c>
      <c r="V3" s="47" t="s">
        <v>849</v>
      </c>
      <c r="W3" s="47" t="s">
        <v>362</v>
      </c>
      <c r="X3" s="47" t="s">
        <v>1301</v>
      </c>
      <c r="Y3" s="47" t="s">
        <v>300</v>
      </c>
      <c r="Z3" s="47" t="s">
        <v>185</v>
      </c>
      <c r="AA3" s="47" t="s">
        <v>558</v>
      </c>
      <c r="AB3" s="47" t="s">
        <v>729</v>
      </c>
    </row>
    <row r="4" spans="1:28" ht="29.1" customHeight="1" x14ac:dyDescent="0.3">
      <c r="A4" s="45"/>
      <c r="B4" s="45"/>
      <c r="C4" s="45"/>
      <c r="D4" s="45"/>
      <c r="E4" s="8" t="s">
        <v>1068</v>
      </c>
      <c r="F4" s="8" t="s">
        <v>1289</v>
      </c>
      <c r="G4" s="8" t="s">
        <v>1068</v>
      </c>
      <c r="H4" s="8" t="s">
        <v>1289</v>
      </c>
      <c r="I4" s="8" t="s">
        <v>1068</v>
      </c>
      <c r="J4" s="8" t="s">
        <v>1289</v>
      </c>
      <c r="K4" s="8" t="s">
        <v>1068</v>
      </c>
      <c r="L4" s="8" t="s">
        <v>1289</v>
      </c>
      <c r="M4" s="45"/>
      <c r="N4" s="46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29.1" customHeight="1" x14ac:dyDescent="0.3">
      <c r="A5" s="48" t="s">
        <v>864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7" t="s">
        <v>477</v>
      </c>
    </row>
    <row r="6" spans="1:28" ht="29.1" customHeight="1" x14ac:dyDescent="0.3">
      <c r="A6" s="5" t="s">
        <v>360</v>
      </c>
      <c r="B6" s="29" t="s">
        <v>375</v>
      </c>
      <c r="C6" s="5" t="s">
        <v>1086</v>
      </c>
      <c r="D6" s="10">
        <v>0.18</v>
      </c>
      <c r="E6" s="28">
        <f>단가대비표!U51</f>
        <v>4400000</v>
      </c>
      <c r="F6" s="27">
        <f>TRUNC(D6*E6,2)</f>
        <v>792000</v>
      </c>
      <c r="G6" s="28">
        <f>단가대비표!V51</f>
        <v>0</v>
      </c>
      <c r="H6" s="27">
        <f>TRUNC(D6*G6,2)</f>
        <v>0</v>
      </c>
      <c r="I6" s="28">
        <f>단가대비표!AE51</f>
        <v>0</v>
      </c>
      <c r="J6" s="27">
        <f>TRUNC(D6*I6,2)</f>
        <v>0</v>
      </c>
      <c r="K6" s="27">
        <f t="shared" ref="K6:L9" si="0">E6+G6+I6</f>
        <v>4400000</v>
      </c>
      <c r="L6" s="27">
        <f t="shared" si="0"/>
        <v>792000</v>
      </c>
      <c r="M6" s="29" t="s">
        <v>1300</v>
      </c>
      <c r="N6" s="7" t="s">
        <v>477</v>
      </c>
      <c r="O6" s="14" t="s">
        <v>683</v>
      </c>
      <c r="P6" s="14" t="s">
        <v>823</v>
      </c>
      <c r="Q6" s="14" t="s">
        <v>823</v>
      </c>
      <c r="R6" s="14" t="s">
        <v>123</v>
      </c>
      <c r="S6" s="31">
        <v>10</v>
      </c>
      <c r="T6" s="14" t="s">
        <v>120</v>
      </c>
      <c r="U6" s="31">
        <v>0</v>
      </c>
      <c r="V6" s="31">
        <v>1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</row>
    <row r="7" spans="1:28" ht="29.1" customHeight="1" x14ac:dyDescent="0.3">
      <c r="A7" s="5" t="s">
        <v>1222</v>
      </c>
      <c r="B7" s="29" t="s">
        <v>467</v>
      </c>
      <c r="C7" s="5" t="s">
        <v>547</v>
      </c>
      <c r="D7" s="10">
        <v>1</v>
      </c>
      <c r="E7" s="28">
        <f>일위대가목록!E70</f>
        <v>0</v>
      </c>
      <c r="F7" s="27">
        <f>TRUNC(D7*E7,2)</f>
        <v>0</v>
      </c>
      <c r="G7" s="28">
        <f>일위대가목록!F70</f>
        <v>0</v>
      </c>
      <c r="H7" s="27">
        <f>TRUNC(D7*G7,2)</f>
        <v>0</v>
      </c>
      <c r="I7" s="28">
        <f>일위대가목록!G70</f>
        <v>248142</v>
      </c>
      <c r="J7" s="27">
        <f>TRUNC(D7*I7,2)</f>
        <v>248142</v>
      </c>
      <c r="K7" s="27">
        <f t="shared" si="0"/>
        <v>248142</v>
      </c>
      <c r="L7" s="27">
        <f t="shared" si="0"/>
        <v>248142</v>
      </c>
      <c r="M7" s="29" t="s">
        <v>584</v>
      </c>
      <c r="N7" s="7" t="s">
        <v>477</v>
      </c>
      <c r="O7" s="14" t="s">
        <v>1189</v>
      </c>
      <c r="P7" s="14" t="s">
        <v>823</v>
      </c>
      <c r="Q7" s="14" t="s">
        <v>823</v>
      </c>
      <c r="R7" s="14" t="s">
        <v>123</v>
      </c>
      <c r="S7" s="31">
        <v>20</v>
      </c>
      <c r="T7" s="14" t="s">
        <v>823</v>
      </c>
      <c r="U7" s="31">
        <v>0</v>
      </c>
      <c r="V7" s="31">
        <v>1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</row>
    <row r="8" spans="1:28" ht="29.1" customHeight="1" x14ac:dyDescent="0.3">
      <c r="A8" s="5" t="s">
        <v>655</v>
      </c>
      <c r="B8" s="29" t="s">
        <v>467</v>
      </c>
      <c r="C8" s="5" t="s">
        <v>547</v>
      </c>
      <c r="D8" s="10">
        <v>1</v>
      </c>
      <c r="E8" s="28">
        <f>일위대가목록!E71</f>
        <v>0</v>
      </c>
      <c r="F8" s="27">
        <f>TRUNC(D8*E8,2)</f>
        <v>0</v>
      </c>
      <c r="G8" s="28">
        <f>일위대가목록!F71</f>
        <v>0</v>
      </c>
      <c r="H8" s="27">
        <f>TRUNC(D8*G8,2)</f>
        <v>0</v>
      </c>
      <c r="I8" s="28">
        <f>일위대가목록!G71</f>
        <v>248142</v>
      </c>
      <c r="J8" s="27">
        <f>TRUNC(D8*I8,2)</f>
        <v>248142</v>
      </c>
      <c r="K8" s="27">
        <f t="shared" si="0"/>
        <v>248142</v>
      </c>
      <c r="L8" s="27">
        <f t="shared" si="0"/>
        <v>248142</v>
      </c>
      <c r="M8" s="29" t="s">
        <v>938</v>
      </c>
      <c r="N8" s="7" t="s">
        <v>477</v>
      </c>
      <c r="O8" s="14" t="s">
        <v>1071</v>
      </c>
      <c r="P8" s="14" t="s">
        <v>823</v>
      </c>
      <c r="Q8" s="14" t="s">
        <v>823</v>
      </c>
      <c r="R8" s="14" t="s">
        <v>123</v>
      </c>
      <c r="S8" s="31">
        <v>30</v>
      </c>
      <c r="T8" s="14" t="s">
        <v>823</v>
      </c>
      <c r="U8" s="31">
        <v>0</v>
      </c>
      <c r="V8" s="31">
        <v>1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</row>
    <row r="9" spans="1:28" ht="29.1" customHeight="1" x14ac:dyDescent="0.3">
      <c r="A9" s="5" t="s">
        <v>1009</v>
      </c>
      <c r="B9" s="29" t="s">
        <v>985</v>
      </c>
      <c r="C9" s="5" t="s">
        <v>136</v>
      </c>
      <c r="D9" s="10">
        <v>1</v>
      </c>
      <c r="E9" s="27">
        <v>0</v>
      </c>
      <c r="F9" s="27">
        <f>TRUNC(D9*E9,2)</f>
        <v>0</v>
      </c>
      <c r="G9" s="27">
        <v>0</v>
      </c>
      <c r="H9" s="27">
        <f>TRUNC(D9*G9,2)</f>
        <v>0</v>
      </c>
      <c r="I9" s="27">
        <f>TRUNC(SUMIF(V6:V9, RIGHTB(O9, 1), L6:L9)*U9, 2)</f>
        <v>1288284</v>
      </c>
      <c r="J9" s="27">
        <f>TRUNC(D9*I9,2)</f>
        <v>1288284</v>
      </c>
      <c r="K9" s="27">
        <f t="shared" si="0"/>
        <v>1288284</v>
      </c>
      <c r="L9" s="27">
        <f t="shared" si="0"/>
        <v>1288284</v>
      </c>
      <c r="M9" s="29" t="s">
        <v>823</v>
      </c>
      <c r="N9" s="7" t="s">
        <v>477</v>
      </c>
      <c r="O9" s="14" t="s">
        <v>572</v>
      </c>
      <c r="P9" s="14" t="s">
        <v>823</v>
      </c>
      <c r="Q9" s="14" t="s">
        <v>823</v>
      </c>
      <c r="R9" s="14" t="s">
        <v>228</v>
      </c>
      <c r="S9" s="31">
        <v>40</v>
      </c>
      <c r="T9" s="14" t="s">
        <v>952</v>
      </c>
      <c r="U9" s="31">
        <v>1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</row>
    <row r="10" spans="1:28" ht="29.1" customHeight="1" x14ac:dyDescent="0.3">
      <c r="A10" s="5" t="s">
        <v>621</v>
      </c>
      <c r="B10" s="5" t="s">
        <v>823</v>
      </c>
      <c r="C10" s="5" t="s">
        <v>823</v>
      </c>
      <c r="D10" s="5" t="s">
        <v>823</v>
      </c>
      <c r="E10" s="28">
        <v>0</v>
      </c>
      <c r="F10" s="28">
        <f>TRUNC(SUMIF(R6:R9, " ", F6:F9),0)</f>
        <v>0</v>
      </c>
      <c r="G10" s="28">
        <v>0</v>
      </c>
      <c r="H10" s="28">
        <f>TRUNC(SUMIF(R6:R9, " ", H6:H9),0)</f>
        <v>0</v>
      </c>
      <c r="I10" s="28">
        <v>0</v>
      </c>
      <c r="J10" s="27">
        <f>TRUNC(SUMIF(R6:R9, " ", J6:J9),0)</f>
        <v>1288284</v>
      </c>
      <c r="K10" s="20" t="s">
        <v>823</v>
      </c>
      <c r="L10" s="28">
        <f>F10+H10+J10</f>
        <v>1288284</v>
      </c>
      <c r="M10" s="29"/>
      <c r="N10" s="24" t="s">
        <v>747</v>
      </c>
      <c r="O10" s="4" t="s">
        <v>747</v>
      </c>
    </row>
    <row r="11" spans="1:28" ht="29.1" customHeight="1" x14ac:dyDescent="0.3">
      <c r="A11" s="5" t="s">
        <v>823</v>
      </c>
      <c r="B11" s="5" t="s">
        <v>823</v>
      </c>
      <c r="C11" s="5" t="s">
        <v>823</v>
      </c>
      <c r="D11" s="5" t="s">
        <v>823</v>
      </c>
      <c r="E11" s="5" t="s">
        <v>823</v>
      </c>
      <c r="F11" s="5" t="s">
        <v>823</v>
      </c>
      <c r="G11" s="5" t="s">
        <v>823</v>
      </c>
      <c r="H11" s="5" t="s">
        <v>823</v>
      </c>
      <c r="I11" s="5" t="s">
        <v>823</v>
      </c>
      <c r="J11" s="5" t="s">
        <v>823</v>
      </c>
      <c r="K11" s="5" t="s">
        <v>823</v>
      </c>
      <c r="L11" s="5" t="s">
        <v>823</v>
      </c>
      <c r="M11" s="5" t="s">
        <v>823</v>
      </c>
    </row>
    <row r="12" spans="1:28" ht="29.1" customHeight="1" x14ac:dyDescent="0.3">
      <c r="A12" s="48" t="s">
        <v>857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7" t="s">
        <v>315</v>
      </c>
    </row>
    <row r="13" spans="1:28" ht="29.1" customHeight="1" x14ac:dyDescent="0.3">
      <c r="A13" s="5" t="s">
        <v>360</v>
      </c>
      <c r="B13" s="29" t="s">
        <v>422</v>
      </c>
      <c r="C13" s="5" t="s">
        <v>1086</v>
      </c>
      <c r="D13" s="10">
        <v>0.18</v>
      </c>
      <c r="E13" s="28">
        <f>단가대비표!U52</f>
        <v>3739547</v>
      </c>
      <c r="F13" s="27">
        <f>TRUNC(D13*E13,2)</f>
        <v>673118.46</v>
      </c>
      <c r="G13" s="28">
        <f>단가대비표!V52</f>
        <v>0</v>
      </c>
      <c r="H13" s="27">
        <f>TRUNC(D13*G13,2)</f>
        <v>0</v>
      </c>
      <c r="I13" s="28">
        <f>단가대비표!AE52</f>
        <v>0</v>
      </c>
      <c r="J13" s="27">
        <f>TRUNC(D13*I13,2)</f>
        <v>0</v>
      </c>
      <c r="K13" s="27">
        <f t="shared" ref="K13:L16" si="1">E13+G13+I13</f>
        <v>3739547</v>
      </c>
      <c r="L13" s="27">
        <f t="shared" si="1"/>
        <v>673118.46</v>
      </c>
      <c r="M13" s="29" t="s">
        <v>553</v>
      </c>
      <c r="N13" s="7" t="s">
        <v>315</v>
      </c>
      <c r="O13" s="14" t="s">
        <v>1052</v>
      </c>
      <c r="P13" s="14" t="s">
        <v>823</v>
      </c>
      <c r="Q13" s="14" t="s">
        <v>823</v>
      </c>
      <c r="R13" s="14" t="s">
        <v>123</v>
      </c>
      <c r="S13" s="31">
        <v>10</v>
      </c>
      <c r="T13" s="14" t="s">
        <v>120</v>
      </c>
      <c r="U13" s="31">
        <v>0</v>
      </c>
      <c r="V13" s="31">
        <v>1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</row>
    <row r="14" spans="1:28" ht="29.1" customHeight="1" x14ac:dyDescent="0.3">
      <c r="A14" s="5" t="s">
        <v>1222</v>
      </c>
      <c r="B14" s="29" t="s">
        <v>467</v>
      </c>
      <c r="C14" s="5" t="s">
        <v>547</v>
      </c>
      <c r="D14" s="10">
        <v>1</v>
      </c>
      <c r="E14" s="28">
        <f>일위대가목록!E70</f>
        <v>0</v>
      </c>
      <c r="F14" s="27">
        <f>TRUNC(D14*E14,2)</f>
        <v>0</v>
      </c>
      <c r="G14" s="28">
        <f>일위대가목록!F70</f>
        <v>0</v>
      </c>
      <c r="H14" s="27">
        <f>TRUNC(D14*G14,2)</f>
        <v>0</v>
      </c>
      <c r="I14" s="28">
        <f>일위대가목록!G70</f>
        <v>248142</v>
      </c>
      <c r="J14" s="27">
        <f>TRUNC(D14*I14,2)</f>
        <v>248142</v>
      </c>
      <c r="K14" s="27">
        <f t="shared" si="1"/>
        <v>248142</v>
      </c>
      <c r="L14" s="27">
        <f t="shared" si="1"/>
        <v>248142</v>
      </c>
      <c r="M14" s="29" t="s">
        <v>584</v>
      </c>
      <c r="N14" s="7" t="s">
        <v>315</v>
      </c>
      <c r="O14" s="14" t="s">
        <v>1189</v>
      </c>
      <c r="P14" s="14" t="s">
        <v>823</v>
      </c>
      <c r="Q14" s="14" t="s">
        <v>823</v>
      </c>
      <c r="R14" s="14" t="s">
        <v>123</v>
      </c>
      <c r="S14" s="31">
        <v>20</v>
      </c>
      <c r="T14" s="14" t="s">
        <v>823</v>
      </c>
      <c r="U14" s="31">
        <v>0</v>
      </c>
      <c r="V14" s="31">
        <v>1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</row>
    <row r="15" spans="1:28" ht="29.1" customHeight="1" x14ac:dyDescent="0.3">
      <c r="A15" s="5" t="s">
        <v>655</v>
      </c>
      <c r="B15" s="29" t="s">
        <v>467</v>
      </c>
      <c r="C15" s="5" t="s">
        <v>547</v>
      </c>
      <c r="D15" s="10">
        <v>1</v>
      </c>
      <c r="E15" s="28">
        <f>일위대가목록!E71</f>
        <v>0</v>
      </c>
      <c r="F15" s="27">
        <f>TRUNC(D15*E15,2)</f>
        <v>0</v>
      </c>
      <c r="G15" s="28">
        <f>일위대가목록!F71</f>
        <v>0</v>
      </c>
      <c r="H15" s="27">
        <f>TRUNC(D15*G15,2)</f>
        <v>0</v>
      </c>
      <c r="I15" s="28">
        <f>일위대가목록!G71</f>
        <v>248142</v>
      </c>
      <c r="J15" s="27">
        <f>TRUNC(D15*I15,2)</f>
        <v>248142</v>
      </c>
      <c r="K15" s="27">
        <f t="shared" si="1"/>
        <v>248142</v>
      </c>
      <c r="L15" s="27">
        <f t="shared" si="1"/>
        <v>248142</v>
      </c>
      <c r="M15" s="29" t="s">
        <v>938</v>
      </c>
      <c r="N15" s="7" t="s">
        <v>315</v>
      </c>
      <c r="O15" s="14" t="s">
        <v>1071</v>
      </c>
      <c r="P15" s="14" t="s">
        <v>823</v>
      </c>
      <c r="Q15" s="14" t="s">
        <v>823</v>
      </c>
      <c r="R15" s="14" t="s">
        <v>123</v>
      </c>
      <c r="S15" s="31">
        <v>30</v>
      </c>
      <c r="T15" s="14" t="s">
        <v>823</v>
      </c>
      <c r="U15" s="31">
        <v>0</v>
      </c>
      <c r="V15" s="31">
        <v>1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</row>
    <row r="16" spans="1:28" ht="29.1" customHeight="1" x14ac:dyDescent="0.3">
      <c r="A16" s="5" t="s">
        <v>1009</v>
      </c>
      <c r="B16" s="29" t="s">
        <v>985</v>
      </c>
      <c r="C16" s="5" t="s">
        <v>136</v>
      </c>
      <c r="D16" s="10">
        <v>1</v>
      </c>
      <c r="E16" s="27">
        <v>0</v>
      </c>
      <c r="F16" s="27">
        <f>TRUNC(D16*E16,2)</f>
        <v>0</v>
      </c>
      <c r="G16" s="27">
        <v>0</v>
      </c>
      <c r="H16" s="27">
        <f>TRUNC(D16*G16,2)</f>
        <v>0</v>
      </c>
      <c r="I16" s="27">
        <f>TRUNC(SUMIF(V13:V16, RIGHTB(O16, 1), L13:L16)*U16, 2)</f>
        <v>1169402.46</v>
      </c>
      <c r="J16" s="27">
        <f>TRUNC(D16*I16,2)</f>
        <v>1169402.46</v>
      </c>
      <c r="K16" s="27">
        <f t="shared" si="1"/>
        <v>1169402.46</v>
      </c>
      <c r="L16" s="27">
        <f t="shared" si="1"/>
        <v>1169402.46</v>
      </c>
      <c r="M16" s="29" t="s">
        <v>823</v>
      </c>
      <c r="N16" s="7" t="s">
        <v>315</v>
      </c>
      <c r="O16" s="14" t="s">
        <v>572</v>
      </c>
      <c r="P16" s="14" t="s">
        <v>823</v>
      </c>
      <c r="Q16" s="14" t="s">
        <v>823</v>
      </c>
      <c r="R16" s="14" t="s">
        <v>228</v>
      </c>
      <c r="S16" s="31">
        <v>40</v>
      </c>
      <c r="T16" s="14" t="s">
        <v>952</v>
      </c>
      <c r="U16" s="31">
        <v>1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</row>
    <row r="17" spans="1:28" ht="29.1" customHeight="1" x14ac:dyDescent="0.3">
      <c r="A17" s="5" t="s">
        <v>621</v>
      </c>
      <c r="B17" s="5" t="s">
        <v>823</v>
      </c>
      <c r="C17" s="5" t="s">
        <v>823</v>
      </c>
      <c r="D17" s="5" t="s">
        <v>823</v>
      </c>
      <c r="E17" s="28">
        <v>0</v>
      </c>
      <c r="F17" s="28">
        <f>TRUNC(SUMIF(R13:R16, " ", F13:F16),0)</f>
        <v>0</v>
      </c>
      <c r="G17" s="28">
        <v>0</v>
      </c>
      <c r="H17" s="28">
        <f>TRUNC(SUMIF(R13:R16, " ", H13:H16),0)</f>
        <v>0</v>
      </c>
      <c r="I17" s="28">
        <v>0</v>
      </c>
      <c r="J17" s="27">
        <f>TRUNC(SUMIF(R13:R16, " ", J13:J16),0)</f>
        <v>1169402</v>
      </c>
      <c r="K17" s="20" t="s">
        <v>823</v>
      </c>
      <c r="L17" s="28">
        <f>F17+H17+J17</f>
        <v>1169402</v>
      </c>
      <c r="M17" s="29"/>
      <c r="N17" s="24" t="s">
        <v>747</v>
      </c>
      <c r="O17" s="4" t="s">
        <v>747</v>
      </c>
    </row>
    <row r="18" spans="1:28" ht="29.1" customHeight="1" x14ac:dyDescent="0.3">
      <c r="A18" s="5" t="s">
        <v>823</v>
      </c>
      <c r="B18" s="5" t="s">
        <v>823</v>
      </c>
      <c r="C18" s="5" t="s">
        <v>823</v>
      </c>
      <c r="D18" s="5" t="s">
        <v>823</v>
      </c>
      <c r="E18" s="5" t="s">
        <v>823</v>
      </c>
      <c r="F18" s="5" t="s">
        <v>823</v>
      </c>
      <c r="G18" s="5" t="s">
        <v>823</v>
      </c>
      <c r="H18" s="5" t="s">
        <v>823</v>
      </c>
      <c r="I18" s="5" t="s">
        <v>823</v>
      </c>
      <c r="J18" s="5" t="s">
        <v>823</v>
      </c>
      <c r="K18" s="5" t="s">
        <v>823</v>
      </c>
      <c r="L18" s="5" t="s">
        <v>823</v>
      </c>
      <c r="M18" s="5" t="s">
        <v>823</v>
      </c>
    </row>
    <row r="19" spans="1:28" ht="29.1" customHeight="1" x14ac:dyDescent="0.3">
      <c r="A19" s="48" t="s">
        <v>148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7" t="s">
        <v>691</v>
      </c>
    </row>
    <row r="20" spans="1:28" ht="29.1" customHeight="1" x14ac:dyDescent="0.3">
      <c r="A20" s="5" t="s">
        <v>1020</v>
      </c>
      <c r="B20" s="29" t="s">
        <v>229</v>
      </c>
      <c r="C20" s="5" t="s">
        <v>554</v>
      </c>
      <c r="D20" s="10">
        <v>0.96666666666666701</v>
      </c>
      <c r="E20" s="28">
        <f>단가대비표!U40</f>
        <v>11280</v>
      </c>
      <c r="F20" s="27">
        <f t="shared" ref="F20:F30" si="2">TRUNC(D20*E20,2)</f>
        <v>10904</v>
      </c>
      <c r="G20" s="28">
        <f>단가대비표!V40</f>
        <v>0</v>
      </c>
      <c r="H20" s="27">
        <f t="shared" ref="H20:H30" si="3">TRUNC(D20*G20,2)</f>
        <v>0</v>
      </c>
      <c r="I20" s="28">
        <f>단가대비표!AE40</f>
        <v>0</v>
      </c>
      <c r="J20" s="27">
        <f t="shared" ref="J20:J30" si="4">TRUNC(D20*I20,2)</f>
        <v>0</v>
      </c>
      <c r="K20" s="27">
        <f t="shared" ref="K20:K30" si="5">E20+G20+I20</f>
        <v>11280</v>
      </c>
      <c r="L20" s="27">
        <f t="shared" ref="L20:L30" si="6">F20+H20+J20</f>
        <v>10904</v>
      </c>
      <c r="M20" s="29" t="s">
        <v>372</v>
      </c>
      <c r="N20" s="7" t="s">
        <v>691</v>
      </c>
      <c r="O20" s="14" t="s">
        <v>1214</v>
      </c>
      <c r="P20" s="14" t="s">
        <v>823</v>
      </c>
      <c r="Q20" s="14" t="s">
        <v>823</v>
      </c>
      <c r="R20" s="14" t="s">
        <v>123</v>
      </c>
      <c r="S20" s="31">
        <v>10</v>
      </c>
      <c r="T20" s="14" t="s">
        <v>512</v>
      </c>
      <c r="U20" s="31">
        <v>0</v>
      </c>
      <c r="V20" s="31">
        <v>1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</row>
    <row r="21" spans="1:28" ht="29.1" customHeight="1" x14ac:dyDescent="0.3">
      <c r="A21" s="5" t="s">
        <v>92</v>
      </c>
      <c r="B21" s="29" t="s">
        <v>389</v>
      </c>
      <c r="C21" s="5" t="s">
        <v>293</v>
      </c>
      <c r="D21" s="10">
        <v>0.29409999999999997</v>
      </c>
      <c r="E21" s="28">
        <f>단가대비표!U20</f>
        <v>4103</v>
      </c>
      <c r="F21" s="27">
        <f t="shared" si="2"/>
        <v>1206.69</v>
      </c>
      <c r="G21" s="28">
        <f>단가대비표!V20</f>
        <v>0</v>
      </c>
      <c r="H21" s="27">
        <f t="shared" si="3"/>
        <v>0</v>
      </c>
      <c r="I21" s="28">
        <f>단가대비표!AE20</f>
        <v>0</v>
      </c>
      <c r="J21" s="27">
        <f t="shared" si="4"/>
        <v>0</v>
      </c>
      <c r="K21" s="27">
        <f t="shared" si="5"/>
        <v>4103</v>
      </c>
      <c r="L21" s="27">
        <f t="shared" si="6"/>
        <v>1206.69</v>
      </c>
      <c r="M21" s="29" t="s">
        <v>194</v>
      </c>
      <c r="N21" s="7" t="s">
        <v>691</v>
      </c>
      <c r="O21" s="14" t="s">
        <v>207</v>
      </c>
      <c r="P21" s="14" t="s">
        <v>823</v>
      </c>
      <c r="Q21" s="14" t="s">
        <v>823</v>
      </c>
      <c r="R21" s="14" t="s">
        <v>123</v>
      </c>
      <c r="S21" s="31">
        <v>20</v>
      </c>
      <c r="T21" s="14" t="s">
        <v>255</v>
      </c>
      <c r="U21" s="31">
        <v>0</v>
      </c>
      <c r="V21" s="31">
        <v>1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</row>
    <row r="22" spans="1:28" ht="29.1" customHeight="1" x14ac:dyDescent="0.3">
      <c r="A22" s="5" t="s">
        <v>969</v>
      </c>
      <c r="B22" s="29" t="s">
        <v>1026</v>
      </c>
      <c r="C22" s="5" t="s">
        <v>1086</v>
      </c>
      <c r="D22" s="10">
        <v>0.1333</v>
      </c>
      <c r="E22" s="28">
        <f>단가대비표!U25</f>
        <v>1590</v>
      </c>
      <c r="F22" s="27">
        <f t="shared" si="2"/>
        <v>211.94</v>
      </c>
      <c r="G22" s="28">
        <f>단가대비표!V25</f>
        <v>0</v>
      </c>
      <c r="H22" s="27">
        <f t="shared" si="3"/>
        <v>0</v>
      </c>
      <c r="I22" s="28">
        <f>단가대비표!AE25</f>
        <v>0</v>
      </c>
      <c r="J22" s="27">
        <f t="shared" si="4"/>
        <v>0</v>
      </c>
      <c r="K22" s="27">
        <f t="shared" si="5"/>
        <v>1590</v>
      </c>
      <c r="L22" s="27">
        <f t="shared" si="6"/>
        <v>211.94</v>
      </c>
      <c r="M22" s="29" t="s">
        <v>1172</v>
      </c>
      <c r="N22" s="7" t="s">
        <v>691</v>
      </c>
      <c r="O22" s="14" t="s">
        <v>119</v>
      </c>
      <c r="P22" s="14" t="s">
        <v>823</v>
      </c>
      <c r="Q22" s="14" t="s">
        <v>823</v>
      </c>
      <c r="R22" s="14" t="s">
        <v>123</v>
      </c>
      <c r="S22" s="31">
        <v>30</v>
      </c>
      <c r="T22" s="14" t="s">
        <v>1267</v>
      </c>
      <c r="U22" s="31">
        <v>0</v>
      </c>
      <c r="V22" s="31">
        <v>1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</row>
    <row r="23" spans="1:28" ht="29.1" customHeight="1" x14ac:dyDescent="0.3">
      <c r="A23" s="5" t="s">
        <v>969</v>
      </c>
      <c r="B23" s="29" t="s">
        <v>464</v>
      </c>
      <c r="C23" s="5" t="s">
        <v>1086</v>
      </c>
      <c r="D23" s="10">
        <v>0.23400000000000001</v>
      </c>
      <c r="E23" s="28">
        <f>단가대비표!U21</f>
        <v>1400</v>
      </c>
      <c r="F23" s="27">
        <f t="shared" si="2"/>
        <v>327.60000000000002</v>
      </c>
      <c r="G23" s="28">
        <f>단가대비표!V21</f>
        <v>0</v>
      </c>
      <c r="H23" s="27">
        <f t="shared" si="3"/>
        <v>0</v>
      </c>
      <c r="I23" s="28">
        <f>단가대비표!AE21</f>
        <v>0</v>
      </c>
      <c r="J23" s="27">
        <f t="shared" si="4"/>
        <v>0</v>
      </c>
      <c r="K23" s="27">
        <f t="shared" si="5"/>
        <v>1400</v>
      </c>
      <c r="L23" s="27">
        <f t="shared" si="6"/>
        <v>327.60000000000002</v>
      </c>
      <c r="M23" s="29" t="s">
        <v>513</v>
      </c>
      <c r="N23" s="7" t="s">
        <v>691</v>
      </c>
      <c r="O23" s="14" t="s">
        <v>67</v>
      </c>
      <c r="P23" s="14" t="s">
        <v>823</v>
      </c>
      <c r="Q23" s="14" t="s">
        <v>823</v>
      </c>
      <c r="R23" s="14" t="s">
        <v>123</v>
      </c>
      <c r="S23" s="31">
        <v>40</v>
      </c>
      <c r="T23" s="14" t="s">
        <v>582</v>
      </c>
      <c r="U23" s="31">
        <v>0</v>
      </c>
      <c r="V23" s="31">
        <v>1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</row>
    <row r="24" spans="1:28" ht="29.1" customHeight="1" x14ac:dyDescent="0.3">
      <c r="A24" s="5" t="s">
        <v>843</v>
      </c>
      <c r="B24" s="29" t="s">
        <v>1226</v>
      </c>
      <c r="C24" s="5" t="s">
        <v>130</v>
      </c>
      <c r="D24" s="10">
        <v>0.87270000000000003</v>
      </c>
      <c r="E24" s="28">
        <f>단가대비표!U41</f>
        <v>350</v>
      </c>
      <c r="F24" s="27">
        <f t="shared" si="2"/>
        <v>305.44</v>
      </c>
      <c r="G24" s="28">
        <f>단가대비표!V41</f>
        <v>0</v>
      </c>
      <c r="H24" s="27">
        <f t="shared" si="3"/>
        <v>0</v>
      </c>
      <c r="I24" s="28">
        <f>단가대비표!AE41</f>
        <v>0</v>
      </c>
      <c r="J24" s="27">
        <f t="shared" si="4"/>
        <v>0</v>
      </c>
      <c r="K24" s="27">
        <f t="shared" si="5"/>
        <v>350</v>
      </c>
      <c r="L24" s="27">
        <f t="shared" si="6"/>
        <v>305.44</v>
      </c>
      <c r="M24" s="29" t="s">
        <v>1316</v>
      </c>
      <c r="N24" s="7" t="s">
        <v>691</v>
      </c>
      <c r="O24" s="14" t="s">
        <v>816</v>
      </c>
      <c r="P24" s="14" t="s">
        <v>823</v>
      </c>
      <c r="Q24" s="14" t="s">
        <v>823</v>
      </c>
      <c r="R24" s="14" t="s">
        <v>123</v>
      </c>
      <c r="S24" s="31">
        <v>50</v>
      </c>
      <c r="T24" s="14" t="s">
        <v>533</v>
      </c>
      <c r="U24" s="31">
        <v>0</v>
      </c>
      <c r="V24" s="31">
        <v>1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</row>
    <row r="25" spans="1:28" ht="29.1" customHeight="1" x14ac:dyDescent="0.3">
      <c r="A25" s="5" t="s">
        <v>1225</v>
      </c>
      <c r="B25" s="29" t="s">
        <v>151</v>
      </c>
      <c r="C25" s="5" t="s">
        <v>1220</v>
      </c>
      <c r="D25" s="10">
        <v>0.1</v>
      </c>
      <c r="E25" s="28">
        <f>일위대가목록!E46</f>
        <v>2642</v>
      </c>
      <c r="F25" s="27">
        <f t="shared" si="2"/>
        <v>264.2</v>
      </c>
      <c r="G25" s="28">
        <f>일위대가목록!F46</f>
        <v>88092</v>
      </c>
      <c r="H25" s="27">
        <f t="shared" si="3"/>
        <v>8809.2000000000007</v>
      </c>
      <c r="I25" s="28">
        <f>일위대가목록!G46</f>
        <v>0</v>
      </c>
      <c r="J25" s="27">
        <f t="shared" si="4"/>
        <v>0</v>
      </c>
      <c r="K25" s="27">
        <f t="shared" si="5"/>
        <v>90734</v>
      </c>
      <c r="L25" s="27">
        <f t="shared" si="6"/>
        <v>9073.4000000000015</v>
      </c>
      <c r="M25" s="29" t="s">
        <v>231</v>
      </c>
      <c r="N25" s="7" t="s">
        <v>691</v>
      </c>
      <c r="O25" s="14" t="s">
        <v>483</v>
      </c>
      <c r="P25" s="14" t="s">
        <v>823</v>
      </c>
      <c r="Q25" s="14" t="s">
        <v>823</v>
      </c>
      <c r="R25" s="14" t="s">
        <v>123</v>
      </c>
      <c r="S25" s="31">
        <v>60</v>
      </c>
      <c r="T25" s="14" t="s">
        <v>823</v>
      </c>
      <c r="U25" s="31">
        <v>0</v>
      </c>
      <c r="V25" s="31">
        <v>1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</row>
    <row r="26" spans="1:28" ht="29.1" customHeight="1" x14ac:dyDescent="0.3">
      <c r="A26" s="5" t="s">
        <v>1025</v>
      </c>
      <c r="B26" s="29" t="s">
        <v>151</v>
      </c>
      <c r="C26" s="5" t="s">
        <v>1220</v>
      </c>
      <c r="D26" s="10">
        <v>0.1</v>
      </c>
      <c r="E26" s="28">
        <f>일위대가목록!E47</f>
        <v>1044</v>
      </c>
      <c r="F26" s="27">
        <f t="shared" si="2"/>
        <v>104.4</v>
      </c>
      <c r="G26" s="28">
        <f>일위대가목록!F47</f>
        <v>34802</v>
      </c>
      <c r="H26" s="27">
        <f t="shared" si="3"/>
        <v>3480.2</v>
      </c>
      <c r="I26" s="28">
        <f>일위대가목록!G47</f>
        <v>0</v>
      </c>
      <c r="J26" s="27">
        <f t="shared" si="4"/>
        <v>0</v>
      </c>
      <c r="K26" s="27">
        <f t="shared" si="5"/>
        <v>35846</v>
      </c>
      <c r="L26" s="27">
        <f t="shared" si="6"/>
        <v>3584.6</v>
      </c>
      <c r="M26" s="29" t="s">
        <v>1264</v>
      </c>
      <c r="N26" s="7" t="s">
        <v>691</v>
      </c>
      <c r="O26" s="14" t="s">
        <v>874</v>
      </c>
      <c r="P26" s="14" t="s">
        <v>823</v>
      </c>
      <c r="Q26" s="14" t="s">
        <v>823</v>
      </c>
      <c r="R26" s="14" t="s">
        <v>123</v>
      </c>
      <c r="S26" s="31">
        <v>70</v>
      </c>
      <c r="T26" s="14" t="s">
        <v>823</v>
      </c>
      <c r="U26" s="31">
        <v>0</v>
      </c>
      <c r="V26" s="31">
        <v>1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</row>
    <row r="27" spans="1:28" ht="29.1" customHeight="1" x14ac:dyDescent="0.3">
      <c r="A27" s="5" t="s">
        <v>910</v>
      </c>
      <c r="B27" s="29" t="s">
        <v>10</v>
      </c>
      <c r="C27" s="5" t="s">
        <v>1220</v>
      </c>
      <c r="D27" s="10">
        <v>0.1</v>
      </c>
      <c r="E27" s="28">
        <f>일위대가목록!E44</f>
        <v>6027</v>
      </c>
      <c r="F27" s="27">
        <f t="shared" si="2"/>
        <v>602.70000000000005</v>
      </c>
      <c r="G27" s="28">
        <f>일위대가목록!F44</f>
        <v>123101</v>
      </c>
      <c r="H27" s="27">
        <f t="shared" si="3"/>
        <v>12310.1</v>
      </c>
      <c r="I27" s="28">
        <f>일위대가목록!G44</f>
        <v>4689</v>
      </c>
      <c r="J27" s="27">
        <f t="shared" si="4"/>
        <v>468.9</v>
      </c>
      <c r="K27" s="27">
        <f t="shared" si="5"/>
        <v>133817</v>
      </c>
      <c r="L27" s="27">
        <f t="shared" si="6"/>
        <v>13381.7</v>
      </c>
      <c r="M27" s="29" t="s">
        <v>1305</v>
      </c>
      <c r="N27" s="7" t="s">
        <v>691</v>
      </c>
      <c r="O27" s="14" t="s">
        <v>412</v>
      </c>
      <c r="P27" s="14" t="s">
        <v>823</v>
      </c>
      <c r="Q27" s="14" t="s">
        <v>823</v>
      </c>
      <c r="R27" s="14" t="s">
        <v>123</v>
      </c>
      <c r="S27" s="31">
        <v>80</v>
      </c>
      <c r="T27" s="14" t="s">
        <v>1268</v>
      </c>
      <c r="U27" s="31">
        <v>0</v>
      </c>
      <c r="V27" s="31">
        <v>1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</row>
    <row r="28" spans="1:28" ht="29.1" customHeight="1" x14ac:dyDescent="0.3">
      <c r="A28" s="5" t="s">
        <v>1139</v>
      </c>
      <c r="B28" s="29" t="s">
        <v>10</v>
      </c>
      <c r="C28" s="5" t="s">
        <v>1220</v>
      </c>
      <c r="D28" s="10">
        <v>0.1</v>
      </c>
      <c r="E28" s="28">
        <f>일위대가목록!E45</f>
        <v>2390</v>
      </c>
      <c r="F28" s="27">
        <f t="shared" si="2"/>
        <v>239</v>
      </c>
      <c r="G28" s="28">
        <f>일위대가목록!F45</f>
        <v>48556</v>
      </c>
      <c r="H28" s="27">
        <f t="shared" si="3"/>
        <v>4855.6000000000004</v>
      </c>
      <c r="I28" s="28">
        <f>일위대가목록!G45</f>
        <v>1875</v>
      </c>
      <c r="J28" s="27">
        <f t="shared" si="4"/>
        <v>187.5</v>
      </c>
      <c r="K28" s="27">
        <f t="shared" si="5"/>
        <v>52821</v>
      </c>
      <c r="L28" s="27">
        <f t="shared" si="6"/>
        <v>5282.1</v>
      </c>
      <c r="M28" s="29" t="s">
        <v>1109</v>
      </c>
      <c r="N28" s="7" t="s">
        <v>691</v>
      </c>
      <c r="O28" s="14" t="s">
        <v>85</v>
      </c>
      <c r="P28" s="14" t="s">
        <v>823</v>
      </c>
      <c r="Q28" s="14" t="s">
        <v>823</v>
      </c>
      <c r="R28" s="14" t="s">
        <v>123</v>
      </c>
      <c r="S28" s="31">
        <v>90</v>
      </c>
      <c r="T28" s="14" t="s">
        <v>1268</v>
      </c>
      <c r="U28" s="31">
        <v>0</v>
      </c>
      <c r="V28" s="31">
        <v>1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</row>
    <row r="29" spans="1:28" ht="29.1" customHeight="1" x14ac:dyDescent="0.3">
      <c r="A29" s="5" t="s">
        <v>159</v>
      </c>
      <c r="B29" s="29" t="s">
        <v>823</v>
      </c>
      <c r="C29" s="5" t="s">
        <v>835</v>
      </c>
      <c r="D29" s="10">
        <v>1</v>
      </c>
      <c r="E29" s="28">
        <f>일위대가목록!E53</f>
        <v>462</v>
      </c>
      <c r="F29" s="27">
        <f t="shared" si="2"/>
        <v>462</v>
      </c>
      <c r="G29" s="28">
        <f>일위대가목록!F53</f>
        <v>2796</v>
      </c>
      <c r="H29" s="27">
        <f t="shared" si="3"/>
        <v>2796</v>
      </c>
      <c r="I29" s="28">
        <f>일위대가목록!G53</f>
        <v>0</v>
      </c>
      <c r="J29" s="27">
        <f t="shared" si="4"/>
        <v>0</v>
      </c>
      <c r="K29" s="27">
        <f t="shared" si="5"/>
        <v>3258</v>
      </c>
      <c r="L29" s="27">
        <f t="shared" si="6"/>
        <v>3258</v>
      </c>
      <c r="M29" s="29" t="s">
        <v>885</v>
      </c>
      <c r="N29" s="7" t="s">
        <v>691</v>
      </c>
      <c r="O29" s="14" t="s">
        <v>1253</v>
      </c>
      <c r="P29" s="14" t="s">
        <v>823</v>
      </c>
      <c r="Q29" s="14" t="s">
        <v>823</v>
      </c>
      <c r="R29" s="14" t="s">
        <v>123</v>
      </c>
      <c r="S29" s="31">
        <v>100</v>
      </c>
      <c r="T29" s="14" t="s">
        <v>997</v>
      </c>
      <c r="U29" s="31">
        <v>0</v>
      </c>
      <c r="V29" s="31">
        <v>1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</row>
    <row r="30" spans="1:28" ht="29.1" customHeight="1" x14ac:dyDescent="0.3">
      <c r="A30" s="5" t="s">
        <v>1009</v>
      </c>
      <c r="B30" s="29" t="s">
        <v>985</v>
      </c>
      <c r="C30" s="5" t="s">
        <v>136</v>
      </c>
      <c r="D30" s="10">
        <v>1</v>
      </c>
      <c r="E30" s="27">
        <v>0</v>
      </c>
      <c r="F30" s="27">
        <f t="shared" si="2"/>
        <v>0</v>
      </c>
      <c r="G30" s="27">
        <v>0</v>
      </c>
      <c r="H30" s="27">
        <f t="shared" si="3"/>
        <v>0</v>
      </c>
      <c r="I30" s="27">
        <f>TRUNC(SUMIF(V20:V30, RIGHTB(O30, 1), L20:L30)*U30, 2)</f>
        <v>47535.47</v>
      </c>
      <c r="J30" s="27">
        <f t="shared" si="4"/>
        <v>47535.47</v>
      </c>
      <c r="K30" s="27">
        <f t="shared" si="5"/>
        <v>47535.47</v>
      </c>
      <c r="L30" s="27">
        <f t="shared" si="6"/>
        <v>47535.47</v>
      </c>
      <c r="M30" s="29" t="s">
        <v>823</v>
      </c>
      <c r="N30" s="7" t="s">
        <v>691</v>
      </c>
      <c r="O30" s="14" t="s">
        <v>572</v>
      </c>
      <c r="P30" s="14" t="s">
        <v>823</v>
      </c>
      <c r="Q30" s="14" t="s">
        <v>823</v>
      </c>
      <c r="R30" s="14" t="s">
        <v>228</v>
      </c>
      <c r="S30" s="31">
        <v>110</v>
      </c>
      <c r="T30" s="14" t="s">
        <v>72</v>
      </c>
      <c r="U30" s="31">
        <v>1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</row>
    <row r="31" spans="1:28" ht="29.1" customHeight="1" x14ac:dyDescent="0.3">
      <c r="A31" s="5" t="s">
        <v>621</v>
      </c>
      <c r="B31" s="5" t="s">
        <v>823</v>
      </c>
      <c r="C31" s="5" t="s">
        <v>823</v>
      </c>
      <c r="D31" s="5" t="s">
        <v>823</v>
      </c>
      <c r="E31" s="28">
        <v>0</v>
      </c>
      <c r="F31" s="28">
        <f>TRUNC(SUMIF(R20:R30, " ", F20:F30),0)</f>
        <v>0</v>
      </c>
      <c r="G31" s="28">
        <v>0</v>
      </c>
      <c r="H31" s="28">
        <f>TRUNC(SUMIF(R20:R30, " ", H20:H30),0)</f>
        <v>0</v>
      </c>
      <c r="I31" s="28">
        <v>0</v>
      </c>
      <c r="J31" s="27">
        <f>TRUNC(SUMIF(R20:R30, " ", J20:J30),0)</f>
        <v>47535</v>
      </c>
      <c r="K31" s="20" t="s">
        <v>823</v>
      </c>
      <c r="L31" s="28">
        <f>F31+H31+J31</f>
        <v>47535</v>
      </c>
      <c r="M31" s="29"/>
      <c r="N31" s="24" t="s">
        <v>747</v>
      </c>
      <c r="O31" s="4" t="s">
        <v>747</v>
      </c>
    </row>
    <row r="32" spans="1:28" ht="29.1" customHeight="1" x14ac:dyDescent="0.3">
      <c r="A32" s="5" t="s">
        <v>823</v>
      </c>
      <c r="B32" s="5" t="s">
        <v>823</v>
      </c>
      <c r="C32" s="5" t="s">
        <v>823</v>
      </c>
      <c r="D32" s="5" t="s">
        <v>823</v>
      </c>
      <c r="E32" s="5" t="s">
        <v>823</v>
      </c>
      <c r="F32" s="5" t="s">
        <v>823</v>
      </c>
      <c r="G32" s="5" t="s">
        <v>823</v>
      </c>
      <c r="H32" s="5" t="s">
        <v>823</v>
      </c>
      <c r="I32" s="5" t="s">
        <v>823</v>
      </c>
      <c r="J32" s="5" t="s">
        <v>823</v>
      </c>
      <c r="K32" s="5" t="s">
        <v>823</v>
      </c>
      <c r="L32" s="5" t="s">
        <v>823</v>
      </c>
      <c r="M32" s="5" t="s">
        <v>823</v>
      </c>
    </row>
    <row r="33" spans="1:28" ht="29.1" customHeight="1" x14ac:dyDescent="0.3">
      <c r="A33" s="48" t="s">
        <v>444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N33" s="7" t="s">
        <v>59</v>
      </c>
    </row>
    <row r="34" spans="1:28" ht="29.1" customHeight="1" x14ac:dyDescent="0.3">
      <c r="A34" s="5" t="s">
        <v>397</v>
      </c>
      <c r="B34" s="29"/>
      <c r="C34" s="5" t="s">
        <v>1004</v>
      </c>
      <c r="D34" s="10">
        <v>15</v>
      </c>
      <c r="E34" s="28">
        <f>단가대비표!U53</f>
        <v>46000</v>
      </c>
      <c r="F34" s="27">
        <f>TRUNC(D34*E34,2)</f>
        <v>690000</v>
      </c>
      <c r="G34" s="28">
        <f>단가대비표!V53</f>
        <v>0</v>
      </c>
      <c r="H34" s="27">
        <f>TRUNC(D34*G34,2)</f>
        <v>0</v>
      </c>
      <c r="I34" s="28">
        <f>단가대비표!AE53</f>
        <v>0</v>
      </c>
      <c r="J34" s="27">
        <f>TRUNC(D34*I34,2)</f>
        <v>0</v>
      </c>
      <c r="K34" s="27">
        <f t="shared" ref="K34:L37" si="7">E34+G34+I34</f>
        <v>46000</v>
      </c>
      <c r="L34" s="27">
        <f t="shared" si="7"/>
        <v>690000</v>
      </c>
      <c r="M34" s="29" t="s">
        <v>579</v>
      </c>
      <c r="N34" s="7" t="s">
        <v>59</v>
      </c>
      <c r="O34" s="14" t="s">
        <v>1100</v>
      </c>
      <c r="P34" s="14" t="s">
        <v>823</v>
      </c>
      <c r="Q34" s="14" t="s">
        <v>823</v>
      </c>
      <c r="R34" s="14" t="s">
        <v>123</v>
      </c>
      <c r="S34" s="31">
        <v>20</v>
      </c>
      <c r="T34" s="14" t="s">
        <v>7</v>
      </c>
      <c r="U34" s="31">
        <v>0</v>
      </c>
      <c r="V34" s="31">
        <v>1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</row>
    <row r="35" spans="1:28" ht="29.1" customHeight="1" x14ac:dyDescent="0.3">
      <c r="A35" s="5" t="s">
        <v>1225</v>
      </c>
      <c r="B35" s="29" t="s">
        <v>151</v>
      </c>
      <c r="C35" s="5" t="s">
        <v>1220</v>
      </c>
      <c r="D35" s="10">
        <v>0.5</v>
      </c>
      <c r="E35" s="28">
        <f>일위대가목록!E46</f>
        <v>2642</v>
      </c>
      <c r="F35" s="27">
        <f>TRUNC(D35*E35,2)</f>
        <v>1321</v>
      </c>
      <c r="G35" s="28">
        <f>일위대가목록!F46</f>
        <v>88092</v>
      </c>
      <c r="H35" s="27">
        <f>TRUNC(D35*G35,2)</f>
        <v>44046</v>
      </c>
      <c r="I35" s="28">
        <f>일위대가목록!G46</f>
        <v>0</v>
      </c>
      <c r="J35" s="27">
        <f>TRUNC(D35*I35,2)</f>
        <v>0</v>
      </c>
      <c r="K35" s="27">
        <f t="shared" si="7"/>
        <v>90734</v>
      </c>
      <c r="L35" s="27">
        <f t="shared" si="7"/>
        <v>45367</v>
      </c>
      <c r="M35" s="29" t="s">
        <v>231</v>
      </c>
      <c r="N35" s="7" t="s">
        <v>59</v>
      </c>
      <c r="O35" s="14" t="s">
        <v>483</v>
      </c>
      <c r="P35" s="14" t="s">
        <v>823</v>
      </c>
      <c r="Q35" s="14" t="s">
        <v>823</v>
      </c>
      <c r="R35" s="14" t="s">
        <v>123</v>
      </c>
      <c r="S35" s="31">
        <v>30</v>
      </c>
      <c r="T35" s="14" t="s">
        <v>1029</v>
      </c>
      <c r="U35" s="31">
        <v>0</v>
      </c>
      <c r="V35" s="31">
        <v>1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</row>
    <row r="36" spans="1:28" ht="29.1" customHeight="1" x14ac:dyDescent="0.3">
      <c r="A36" s="5" t="s">
        <v>1025</v>
      </c>
      <c r="B36" s="29" t="s">
        <v>151</v>
      </c>
      <c r="C36" s="5" t="s">
        <v>1220</v>
      </c>
      <c r="D36" s="10">
        <v>0.5</v>
      </c>
      <c r="E36" s="28">
        <f>일위대가목록!E47</f>
        <v>1044</v>
      </c>
      <c r="F36" s="27">
        <f>TRUNC(D36*E36,2)</f>
        <v>522</v>
      </c>
      <c r="G36" s="28">
        <f>일위대가목록!F47</f>
        <v>34802</v>
      </c>
      <c r="H36" s="27">
        <f>TRUNC(D36*G36,2)</f>
        <v>17401</v>
      </c>
      <c r="I36" s="28">
        <f>일위대가목록!G47</f>
        <v>0</v>
      </c>
      <c r="J36" s="27">
        <f>TRUNC(D36*I36,2)</f>
        <v>0</v>
      </c>
      <c r="K36" s="27">
        <f t="shared" si="7"/>
        <v>35846</v>
      </c>
      <c r="L36" s="27">
        <f t="shared" si="7"/>
        <v>17923</v>
      </c>
      <c r="M36" s="29" t="s">
        <v>1264</v>
      </c>
      <c r="N36" s="7" t="s">
        <v>59</v>
      </c>
      <c r="O36" s="14" t="s">
        <v>874</v>
      </c>
      <c r="P36" s="14" t="s">
        <v>823</v>
      </c>
      <c r="Q36" s="14" t="s">
        <v>823</v>
      </c>
      <c r="R36" s="14" t="s">
        <v>123</v>
      </c>
      <c r="S36" s="31">
        <v>40</v>
      </c>
      <c r="T36" s="14" t="s">
        <v>1029</v>
      </c>
      <c r="U36" s="31">
        <v>0</v>
      </c>
      <c r="V36" s="31">
        <v>1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</row>
    <row r="37" spans="1:28" ht="29.1" customHeight="1" x14ac:dyDescent="0.3">
      <c r="A37" s="5" t="s">
        <v>1009</v>
      </c>
      <c r="B37" s="29" t="s">
        <v>623</v>
      </c>
      <c r="C37" s="5" t="s">
        <v>136</v>
      </c>
      <c r="D37" s="10">
        <v>1</v>
      </c>
      <c r="E37" s="27">
        <v>0</v>
      </c>
      <c r="F37" s="27">
        <f>TRUNC(D37*E37,2)</f>
        <v>0</v>
      </c>
      <c r="G37" s="27">
        <v>0</v>
      </c>
      <c r="H37" s="27">
        <f>TRUNC(D37*G37,2)</f>
        <v>0</v>
      </c>
      <c r="I37" s="27">
        <f>TRUNC(SUMIF(V34:V37, RIGHTB(O37, 1), L34:L37)*U37, 2)</f>
        <v>753290</v>
      </c>
      <c r="J37" s="27">
        <f>TRUNC(D37*I37,2)</f>
        <v>753290</v>
      </c>
      <c r="K37" s="27">
        <f t="shared" si="7"/>
        <v>753290</v>
      </c>
      <c r="L37" s="27">
        <f t="shared" si="7"/>
        <v>753290</v>
      </c>
      <c r="M37" s="29"/>
      <c r="N37" s="7" t="s">
        <v>59</v>
      </c>
      <c r="O37" s="14" t="s">
        <v>572</v>
      </c>
      <c r="P37" s="14" t="s">
        <v>823</v>
      </c>
      <c r="Q37" s="14" t="s">
        <v>823</v>
      </c>
      <c r="R37" s="14" t="s">
        <v>228</v>
      </c>
      <c r="S37" s="31">
        <v>50</v>
      </c>
      <c r="T37" s="14" t="s">
        <v>1249</v>
      </c>
      <c r="U37" s="31">
        <v>1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</row>
    <row r="38" spans="1:28" ht="29.1" customHeight="1" x14ac:dyDescent="0.3">
      <c r="A38" s="5" t="s">
        <v>621</v>
      </c>
      <c r="B38" s="5" t="s">
        <v>823</v>
      </c>
      <c r="C38" s="5" t="s">
        <v>823</v>
      </c>
      <c r="D38" s="5" t="s">
        <v>823</v>
      </c>
      <c r="E38" s="28">
        <v>0</v>
      </c>
      <c r="F38" s="28">
        <f>TRUNC(SUMIF(R34:R37, " ", F34:F37),0)</f>
        <v>0</v>
      </c>
      <c r="G38" s="28">
        <v>0</v>
      </c>
      <c r="H38" s="28">
        <f>TRUNC(SUMIF(R34:R37, " ", H34:H37),0)</f>
        <v>0</v>
      </c>
      <c r="I38" s="28">
        <v>0</v>
      </c>
      <c r="J38" s="27">
        <f>TRUNC(SUMIF(R34:R37, " ", J34:J37),0)</f>
        <v>753290</v>
      </c>
      <c r="K38" s="20" t="s">
        <v>823</v>
      </c>
      <c r="L38" s="28">
        <f>F38+H38+J38</f>
        <v>753290</v>
      </c>
      <c r="M38" s="29"/>
      <c r="N38" s="24" t="s">
        <v>747</v>
      </c>
      <c r="O38" s="4" t="s">
        <v>747</v>
      </c>
    </row>
    <row r="39" spans="1:28" ht="29.1" customHeight="1" x14ac:dyDescent="0.3">
      <c r="A39" s="5" t="s">
        <v>823</v>
      </c>
      <c r="B39" s="5" t="s">
        <v>823</v>
      </c>
      <c r="C39" s="5" t="s">
        <v>823</v>
      </c>
      <c r="D39" s="5" t="s">
        <v>823</v>
      </c>
      <c r="E39" s="5" t="s">
        <v>823</v>
      </c>
      <c r="F39" s="5" t="s">
        <v>823</v>
      </c>
      <c r="G39" s="5" t="s">
        <v>823</v>
      </c>
      <c r="H39" s="5" t="s">
        <v>823</v>
      </c>
      <c r="I39" s="5" t="s">
        <v>823</v>
      </c>
      <c r="J39" s="5" t="s">
        <v>823</v>
      </c>
      <c r="K39" s="5" t="s">
        <v>823</v>
      </c>
      <c r="L39" s="5" t="s">
        <v>823</v>
      </c>
      <c r="M39" s="5" t="s">
        <v>823</v>
      </c>
    </row>
    <row r="40" spans="1:28" ht="29.1" customHeight="1" x14ac:dyDescent="0.3">
      <c r="A40" s="48" t="s">
        <v>89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  <c r="N40" s="7" t="s">
        <v>1047</v>
      </c>
    </row>
    <row r="41" spans="1:28" ht="29.1" customHeight="1" x14ac:dyDescent="0.3">
      <c r="A41" s="5" t="s">
        <v>618</v>
      </c>
      <c r="B41" s="29" t="s">
        <v>542</v>
      </c>
      <c r="C41" s="5" t="s">
        <v>537</v>
      </c>
      <c r="D41" s="10">
        <v>0.3009</v>
      </c>
      <c r="E41" s="28">
        <f>단가대비표!U43</f>
        <v>39000</v>
      </c>
      <c r="F41" s="27">
        <f t="shared" ref="F41:F53" si="8">TRUNC(D41*E41,2)</f>
        <v>11735.1</v>
      </c>
      <c r="G41" s="28">
        <f>단가대비표!V43</f>
        <v>0</v>
      </c>
      <c r="H41" s="27">
        <f t="shared" ref="H41:H53" si="9">TRUNC(D41*G41,2)</f>
        <v>0</v>
      </c>
      <c r="I41" s="28">
        <f>단가대비표!AE43</f>
        <v>0</v>
      </c>
      <c r="J41" s="27">
        <f t="shared" ref="J41:J53" si="10">TRUNC(D41*I41,2)</f>
        <v>0</v>
      </c>
      <c r="K41" s="27">
        <f t="shared" ref="K41:K53" si="11">E41+G41+I41</f>
        <v>39000</v>
      </c>
      <c r="L41" s="27">
        <f t="shared" ref="L41:L53" si="12">F41+H41+J41</f>
        <v>11735.1</v>
      </c>
      <c r="M41" s="29" t="s">
        <v>318</v>
      </c>
      <c r="N41" s="7" t="s">
        <v>1047</v>
      </c>
      <c r="O41" s="14" t="s">
        <v>833</v>
      </c>
      <c r="P41" s="14" t="s">
        <v>823</v>
      </c>
      <c r="Q41" s="14" t="s">
        <v>823</v>
      </c>
      <c r="R41" s="14" t="s">
        <v>123</v>
      </c>
      <c r="S41" s="31">
        <v>10</v>
      </c>
      <c r="T41" s="14" t="s">
        <v>823</v>
      </c>
      <c r="U41" s="31">
        <v>0</v>
      </c>
      <c r="V41" s="31">
        <v>1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</row>
    <row r="42" spans="1:28" ht="29.1" customHeight="1" x14ac:dyDescent="0.3">
      <c r="A42" s="5" t="s">
        <v>486</v>
      </c>
      <c r="B42" s="29" t="s">
        <v>1285</v>
      </c>
      <c r="C42" s="5" t="s">
        <v>537</v>
      </c>
      <c r="D42" s="10">
        <v>5.4300000000000001E-2</v>
      </c>
      <c r="E42" s="28">
        <f>단가대비표!U46</f>
        <v>19600</v>
      </c>
      <c r="F42" s="27">
        <f t="shared" si="8"/>
        <v>1064.28</v>
      </c>
      <c r="G42" s="28">
        <f>단가대비표!V46</f>
        <v>0</v>
      </c>
      <c r="H42" s="27">
        <f t="shared" si="9"/>
        <v>0</v>
      </c>
      <c r="I42" s="28">
        <f>단가대비표!AE46</f>
        <v>0</v>
      </c>
      <c r="J42" s="27">
        <f t="shared" si="10"/>
        <v>0</v>
      </c>
      <c r="K42" s="27">
        <f t="shared" si="11"/>
        <v>19600</v>
      </c>
      <c r="L42" s="27">
        <f t="shared" si="12"/>
        <v>1064.28</v>
      </c>
      <c r="M42" s="29" t="s">
        <v>111</v>
      </c>
      <c r="N42" s="7" t="s">
        <v>1047</v>
      </c>
      <c r="O42" s="14" t="s">
        <v>1122</v>
      </c>
      <c r="P42" s="14" t="s">
        <v>823</v>
      </c>
      <c r="Q42" s="14" t="s">
        <v>823</v>
      </c>
      <c r="R42" s="14" t="s">
        <v>123</v>
      </c>
      <c r="S42" s="31">
        <v>20</v>
      </c>
      <c r="T42" s="14" t="s">
        <v>823</v>
      </c>
      <c r="U42" s="31">
        <v>0</v>
      </c>
      <c r="V42" s="31">
        <v>1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</row>
    <row r="43" spans="1:28" ht="29.1" customHeight="1" x14ac:dyDescent="0.3">
      <c r="A43" s="5" t="s">
        <v>458</v>
      </c>
      <c r="B43" s="29" t="s">
        <v>442</v>
      </c>
      <c r="C43" s="5" t="s">
        <v>537</v>
      </c>
      <c r="D43" s="10">
        <v>0.3009</v>
      </c>
      <c r="E43" s="28">
        <f>단가대비표!U44</f>
        <v>10800</v>
      </c>
      <c r="F43" s="27">
        <f t="shared" si="8"/>
        <v>3249.72</v>
      </c>
      <c r="G43" s="28">
        <f>단가대비표!V44</f>
        <v>0</v>
      </c>
      <c r="H43" s="27">
        <f t="shared" si="9"/>
        <v>0</v>
      </c>
      <c r="I43" s="28">
        <f>단가대비표!AE44</f>
        <v>0</v>
      </c>
      <c r="J43" s="27">
        <f t="shared" si="10"/>
        <v>0</v>
      </c>
      <c r="K43" s="27">
        <f t="shared" si="11"/>
        <v>10800</v>
      </c>
      <c r="L43" s="27">
        <f t="shared" si="12"/>
        <v>3249.72</v>
      </c>
      <c r="M43" s="29" t="s">
        <v>875</v>
      </c>
      <c r="N43" s="7" t="s">
        <v>1047</v>
      </c>
      <c r="O43" s="14" t="s">
        <v>1138</v>
      </c>
      <c r="P43" s="14" t="s">
        <v>823</v>
      </c>
      <c r="Q43" s="14" t="s">
        <v>823</v>
      </c>
      <c r="R43" s="14" t="s">
        <v>228</v>
      </c>
      <c r="S43" s="31">
        <v>30</v>
      </c>
      <c r="T43" s="14" t="s">
        <v>823</v>
      </c>
      <c r="U43" s="31">
        <v>0</v>
      </c>
      <c r="V43" s="31">
        <v>1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</row>
    <row r="44" spans="1:28" ht="29.1" customHeight="1" x14ac:dyDescent="0.3">
      <c r="A44" s="5" t="s">
        <v>458</v>
      </c>
      <c r="B44" s="29" t="s">
        <v>1230</v>
      </c>
      <c r="C44" s="5" t="s">
        <v>537</v>
      </c>
      <c r="D44" s="10">
        <v>0.5847</v>
      </c>
      <c r="E44" s="28">
        <f>단가대비표!U45</f>
        <v>13500</v>
      </c>
      <c r="F44" s="27">
        <f t="shared" si="8"/>
        <v>7893.45</v>
      </c>
      <c r="G44" s="28">
        <f>단가대비표!V45</f>
        <v>0</v>
      </c>
      <c r="H44" s="27">
        <f t="shared" si="9"/>
        <v>0</v>
      </c>
      <c r="I44" s="28">
        <f>단가대비표!AE45</f>
        <v>0</v>
      </c>
      <c r="J44" s="27">
        <f t="shared" si="10"/>
        <v>0</v>
      </c>
      <c r="K44" s="27">
        <f t="shared" si="11"/>
        <v>13500</v>
      </c>
      <c r="L44" s="27">
        <f t="shared" si="12"/>
        <v>7893.45</v>
      </c>
      <c r="M44" s="29" t="s">
        <v>1304</v>
      </c>
      <c r="N44" s="7" t="s">
        <v>1047</v>
      </c>
      <c r="O44" s="14" t="s">
        <v>1014</v>
      </c>
      <c r="P44" s="14" t="s">
        <v>823</v>
      </c>
      <c r="Q44" s="14" t="s">
        <v>823</v>
      </c>
      <c r="R44" s="14" t="s">
        <v>123</v>
      </c>
      <c r="S44" s="31">
        <v>40</v>
      </c>
      <c r="T44" s="14" t="s">
        <v>823</v>
      </c>
      <c r="U44" s="31">
        <v>0</v>
      </c>
      <c r="V44" s="31">
        <v>1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</row>
    <row r="45" spans="1:28" ht="29.1" customHeight="1" x14ac:dyDescent="0.3">
      <c r="A45" s="5" t="s">
        <v>913</v>
      </c>
      <c r="B45" s="29" t="s">
        <v>1199</v>
      </c>
      <c r="C45" s="5" t="s">
        <v>537</v>
      </c>
      <c r="D45" s="10">
        <v>3.09E-2</v>
      </c>
      <c r="E45" s="28">
        <f>단가대비표!U47</f>
        <v>7200</v>
      </c>
      <c r="F45" s="27">
        <f t="shared" si="8"/>
        <v>222.48</v>
      </c>
      <c r="G45" s="28">
        <f>단가대비표!V47</f>
        <v>0</v>
      </c>
      <c r="H45" s="27">
        <f t="shared" si="9"/>
        <v>0</v>
      </c>
      <c r="I45" s="28">
        <f>단가대비표!AE47</f>
        <v>0</v>
      </c>
      <c r="J45" s="27">
        <f t="shared" si="10"/>
        <v>0</v>
      </c>
      <c r="K45" s="27">
        <f t="shared" si="11"/>
        <v>7200</v>
      </c>
      <c r="L45" s="27">
        <f t="shared" si="12"/>
        <v>222.48</v>
      </c>
      <c r="M45" s="29" t="s">
        <v>701</v>
      </c>
      <c r="N45" s="7" t="s">
        <v>1047</v>
      </c>
      <c r="O45" s="14" t="s">
        <v>448</v>
      </c>
      <c r="P45" s="14" t="s">
        <v>823</v>
      </c>
      <c r="Q45" s="14" t="s">
        <v>823</v>
      </c>
      <c r="R45" s="14" t="s">
        <v>228</v>
      </c>
      <c r="S45" s="31">
        <v>50</v>
      </c>
      <c r="T45" s="14" t="s">
        <v>823</v>
      </c>
      <c r="U45" s="31">
        <v>0</v>
      </c>
      <c r="V45" s="31">
        <v>1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</row>
    <row r="46" spans="1:28" ht="29.1" customHeight="1" x14ac:dyDescent="0.3">
      <c r="A46" s="5" t="s">
        <v>913</v>
      </c>
      <c r="B46" s="29" t="s">
        <v>213</v>
      </c>
      <c r="C46" s="5" t="s">
        <v>537</v>
      </c>
      <c r="D46" s="10">
        <v>0.78939999999999999</v>
      </c>
      <c r="E46" s="28">
        <f>단가대비표!U48</f>
        <v>8400</v>
      </c>
      <c r="F46" s="27">
        <f t="shared" si="8"/>
        <v>6630.96</v>
      </c>
      <c r="G46" s="28">
        <f>단가대비표!V48</f>
        <v>0</v>
      </c>
      <c r="H46" s="27">
        <f t="shared" si="9"/>
        <v>0</v>
      </c>
      <c r="I46" s="28">
        <f>단가대비표!AE48</f>
        <v>0</v>
      </c>
      <c r="J46" s="27">
        <f t="shared" si="10"/>
        <v>0</v>
      </c>
      <c r="K46" s="27">
        <f t="shared" si="11"/>
        <v>8400</v>
      </c>
      <c r="L46" s="27">
        <f t="shared" si="12"/>
        <v>6630.96</v>
      </c>
      <c r="M46" s="29" t="s">
        <v>815</v>
      </c>
      <c r="N46" s="7" t="s">
        <v>1047</v>
      </c>
      <c r="O46" s="14" t="s">
        <v>566</v>
      </c>
      <c r="P46" s="14" t="s">
        <v>823</v>
      </c>
      <c r="Q46" s="14" t="s">
        <v>823</v>
      </c>
      <c r="R46" s="14" t="s">
        <v>123</v>
      </c>
      <c r="S46" s="31">
        <v>60</v>
      </c>
      <c r="T46" s="14" t="s">
        <v>823</v>
      </c>
      <c r="U46" s="31">
        <v>0</v>
      </c>
      <c r="V46" s="31">
        <v>1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</row>
    <row r="47" spans="1:28" ht="29.1" customHeight="1" x14ac:dyDescent="0.3">
      <c r="A47" s="5" t="s">
        <v>1143</v>
      </c>
      <c r="B47" s="29" t="s">
        <v>902</v>
      </c>
      <c r="C47" s="5" t="s">
        <v>136</v>
      </c>
      <c r="D47" s="10">
        <v>1</v>
      </c>
      <c r="E47" s="27">
        <f>TRUNC(SUMIF(V41:V53, RIGHTB(O47, 1), F41:F53)*U47, 2)</f>
        <v>3079.59</v>
      </c>
      <c r="F47" s="27">
        <f t="shared" si="8"/>
        <v>3079.59</v>
      </c>
      <c r="G47" s="27">
        <v>0</v>
      </c>
      <c r="H47" s="27">
        <f t="shared" si="9"/>
        <v>0</v>
      </c>
      <c r="I47" s="27">
        <v>0</v>
      </c>
      <c r="J47" s="27">
        <f t="shared" si="10"/>
        <v>0</v>
      </c>
      <c r="K47" s="27">
        <f t="shared" si="11"/>
        <v>3079.59</v>
      </c>
      <c r="L47" s="27">
        <f t="shared" si="12"/>
        <v>3079.59</v>
      </c>
      <c r="M47" s="29"/>
      <c r="N47" s="7" t="s">
        <v>1047</v>
      </c>
      <c r="O47" s="14" t="s">
        <v>572</v>
      </c>
      <c r="P47" s="14" t="s">
        <v>823</v>
      </c>
      <c r="Q47" s="14" t="s">
        <v>823</v>
      </c>
      <c r="R47" s="14" t="s">
        <v>228</v>
      </c>
      <c r="S47" s="31">
        <v>70</v>
      </c>
      <c r="T47" s="14" t="s">
        <v>466</v>
      </c>
      <c r="U47" s="31">
        <v>0.1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</row>
    <row r="48" spans="1:28" ht="29.1" customHeight="1" x14ac:dyDescent="0.3">
      <c r="A48" s="5" t="s">
        <v>1105</v>
      </c>
      <c r="B48" s="29" t="s">
        <v>23</v>
      </c>
      <c r="C48" s="5" t="s">
        <v>1086</v>
      </c>
      <c r="D48" s="10">
        <v>6.0100000000000001E-2</v>
      </c>
      <c r="E48" s="28">
        <f>단가대비표!U49</f>
        <v>8700</v>
      </c>
      <c r="F48" s="27">
        <f t="shared" si="8"/>
        <v>522.87</v>
      </c>
      <c r="G48" s="28">
        <f>단가대비표!V49</f>
        <v>0</v>
      </c>
      <c r="H48" s="27">
        <f t="shared" si="9"/>
        <v>0</v>
      </c>
      <c r="I48" s="28">
        <f>단가대비표!AE49</f>
        <v>0</v>
      </c>
      <c r="J48" s="27">
        <f t="shared" si="10"/>
        <v>0</v>
      </c>
      <c r="K48" s="27">
        <f t="shared" si="11"/>
        <v>8700</v>
      </c>
      <c r="L48" s="27">
        <f t="shared" si="12"/>
        <v>522.87</v>
      </c>
      <c r="M48" s="29" t="s">
        <v>60</v>
      </c>
      <c r="N48" s="7" t="s">
        <v>1047</v>
      </c>
      <c r="O48" s="14" t="s">
        <v>689</v>
      </c>
      <c r="P48" s="14" t="s">
        <v>823</v>
      </c>
      <c r="Q48" s="14" t="s">
        <v>823</v>
      </c>
      <c r="R48" s="14" t="s">
        <v>123</v>
      </c>
      <c r="S48" s="31">
        <v>80</v>
      </c>
      <c r="T48" s="14" t="s">
        <v>823</v>
      </c>
      <c r="U48" s="31">
        <v>0</v>
      </c>
      <c r="V48" s="31">
        <v>0</v>
      </c>
      <c r="W48" s="31">
        <v>2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</row>
    <row r="49" spans="1:28" ht="29.1" customHeight="1" x14ac:dyDescent="0.3">
      <c r="A49" s="5" t="s">
        <v>607</v>
      </c>
      <c r="B49" s="29" t="s">
        <v>392</v>
      </c>
      <c r="C49" s="5" t="s">
        <v>554</v>
      </c>
      <c r="D49" s="10">
        <v>0.52629999999999999</v>
      </c>
      <c r="E49" s="28">
        <f>단가대비표!U12</f>
        <v>20500</v>
      </c>
      <c r="F49" s="27">
        <f t="shared" si="8"/>
        <v>10789.15</v>
      </c>
      <c r="G49" s="28">
        <f>단가대비표!V12</f>
        <v>0</v>
      </c>
      <c r="H49" s="27">
        <f t="shared" si="9"/>
        <v>0</v>
      </c>
      <c r="I49" s="28">
        <f>단가대비표!AE12</f>
        <v>0</v>
      </c>
      <c r="J49" s="27">
        <f t="shared" si="10"/>
        <v>0</v>
      </c>
      <c r="K49" s="27">
        <f t="shared" si="11"/>
        <v>20500</v>
      </c>
      <c r="L49" s="27">
        <f t="shared" si="12"/>
        <v>10789.15</v>
      </c>
      <c r="M49" s="29" t="s">
        <v>1145</v>
      </c>
      <c r="N49" s="7" t="s">
        <v>1047</v>
      </c>
      <c r="O49" s="14" t="s">
        <v>948</v>
      </c>
      <c r="P49" s="14" t="s">
        <v>823</v>
      </c>
      <c r="Q49" s="14" t="s">
        <v>823</v>
      </c>
      <c r="R49" s="14" t="s">
        <v>123</v>
      </c>
      <c r="S49" s="31">
        <v>90</v>
      </c>
      <c r="T49" s="14" t="s">
        <v>823</v>
      </c>
      <c r="U49" s="31">
        <v>0</v>
      </c>
      <c r="V49" s="31">
        <v>0</v>
      </c>
      <c r="W49" s="31">
        <v>2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</row>
    <row r="50" spans="1:28" ht="29.1" customHeight="1" x14ac:dyDescent="0.3">
      <c r="A50" s="5" t="s">
        <v>818</v>
      </c>
      <c r="B50" s="29" t="s">
        <v>204</v>
      </c>
      <c r="C50" s="5" t="s">
        <v>136</v>
      </c>
      <c r="D50" s="10">
        <v>1</v>
      </c>
      <c r="E50" s="27">
        <f>TRUNC(SUMIF(W41:W53, RIGHTB(O50, 1), F41:F53)*U50, 2)</f>
        <v>1696.8</v>
      </c>
      <c r="F50" s="27">
        <f t="shared" si="8"/>
        <v>1696.8</v>
      </c>
      <c r="G50" s="27">
        <v>0</v>
      </c>
      <c r="H50" s="27">
        <f t="shared" si="9"/>
        <v>0</v>
      </c>
      <c r="I50" s="27">
        <v>0</v>
      </c>
      <c r="J50" s="27">
        <f t="shared" si="10"/>
        <v>0</v>
      </c>
      <c r="K50" s="27">
        <f t="shared" si="11"/>
        <v>1696.8</v>
      </c>
      <c r="L50" s="27">
        <f t="shared" si="12"/>
        <v>1696.8</v>
      </c>
      <c r="M50" s="29"/>
      <c r="N50" s="7" t="s">
        <v>1047</v>
      </c>
      <c r="O50" s="14" t="s">
        <v>1097</v>
      </c>
      <c r="P50" s="14" t="s">
        <v>823</v>
      </c>
      <c r="Q50" s="14" t="s">
        <v>823</v>
      </c>
      <c r="R50" s="14" t="s">
        <v>228</v>
      </c>
      <c r="S50" s="31">
        <v>100</v>
      </c>
      <c r="T50" s="14" t="s">
        <v>82</v>
      </c>
      <c r="U50" s="31">
        <v>0.15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</row>
    <row r="51" spans="1:28" ht="29.1" customHeight="1" x14ac:dyDescent="0.3">
      <c r="A51" s="5" t="s">
        <v>1134</v>
      </c>
      <c r="B51" s="29" t="s">
        <v>429</v>
      </c>
      <c r="C51" s="5" t="s">
        <v>1086</v>
      </c>
      <c r="D51" s="10">
        <v>3.8600000000000002E-2</v>
      </c>
      <c r="E51" s="28">
        <f>단가대비표!U24</f>
        <v>900</v>
      </c>
      <c r="F51" s="27">
        <f t="shared" si="8"/>
        <v>34.74</v>
      </c>
      <c r="G51" s="28">
        <f>단가대비표!V24</f>
        <v>0</v>
      </c>
      <c r="H51" s="27">
        <f t="shared" si="9"/>
        <v>0</v>
      </c>
      <c r="I51" s="28">
        <f>단가대비표!AE24</f>
        <v>0</v>
      </c>
      <c r="J51" s="27">
        <f t="shared" si="10"/>
        <v>0</v>
      </c>
      <c r="K51" s="27">
        <f t="shared" si="11"/>
        <v>900</v>
      </c>
      <c r="L51" s="27">
        <f t="shared" si="12"/>
        <v>34.74</v>
      </c>
      <c r="M51" s="29" t="s">
        <v>463</v>
      </c>
      <c r="N51" s="7" t="s">
        <v>1047</v>
      </c>
      <c r="O51" s="14" t="s">
        <v>2</v>
      </c>
      <c r="P51" s="14" t="s">
        <v>823</v>
      </c>
      <c r="Q51" s="14" t="s">
        <v>823</v>
      </c>
      <c r="R51" s="14" t="s">
        <v>123</v>
      </c>
      <c r="S51" s="31">
        <v>110</v>
      </c>
      <c r="T51" s="14" t="s">
        <v>823</v>
      </c>
      <c r="U51" s="31">
        <v>0</v>
      </c>
      <c r="V51" s="31">
        <v>0</v>
      </c>
      <c r="W51" s="31">
        <v>0</v>
      </c>
      <c r="X51" s="31">
        <v>3</v>
      </c>
      <c r="Y51" s="31">
        <v>0</v>
      </c>
      <c r="Z51" s="31">
        <v>0</v>
      </c>
      <c r="AA51" s="31">
        <v>0</v>
      </c>
      <c r="AB51" s="31">
        <v>0</v>
      </c>
    </row>
    <row r="52" spans="1:28" ht="29.1" customHeight="1" x14ac:dyDescent="0.3">
      <c r="A52" s="5" t="s">
        <v>1151</v>
      </c>
      <c r="B52" s="29" t="s">
        <v>531</v>
      </c>
      <c r="C52" s="5" t="s">
        <v>136</v>
      </c>
      <c r="D52" s="10">
        <v>1</v>
      </c>
      <c r="E52" s="27">
        <f>TRUNC(SUMIF(X41:X53, RIGHTB(O52, 1), F41:F53)*U52, 2)</f>
        <v>34.74</v>
      </c>
      <c r="F52" s="27">
        <f t="shared" si="8"/>
        <v>34.74</v>
      </c>
      <c r="G52" s="27">
        <v>0</v>
      </c>
      <c r="H52" s="27">
        <f t="shared" si="9"/>
        <v>0</v>
      </c>
      <c r="I52" s="27">
        <v>0</v>
      </c>
      <c r="J52" s="27">
        <f t="shared" si="10"/>
        <v>0</v>
      </c>
      <c r="K52" s="27">
        <f t="shared" si="11"/>
        <v>34.74</v>
      </c>
      <c r="L52" s="27">
        <f t="shared" si="12"/>
        <v>34.74</v>
      </c>
      <c r="M52" s="29"/>
      <c r="N52" s="7" t="s">
        <v>1047</v>
      </c>
      <c r="O52" s="14" t="s">
        <v>51</v>
      </c>
      <c r="P52" s="14" t="s">
        <v>823</v>
      </c>
      <c r="Q52" s="14" t="s">
        <v>823</v>
      </c>
      <c r="R52" s="14" t="s">
        <v>228</v>
      </c>
      <c r="S52" s="31">
        <v>120</v>
      </c>
      <c r="T52" s="14" t="s">
        <v>484</v>
      </c>
      <c r="U52" s="31">
        <v>1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</row>
    <row r="53" spans="1:28" ht="29.1" customHeight="1" x14ac:dyDescent="0.3">
      <c r="A53" s="5" t="s">
        <v>530</v>
      </c>
      <c r="B53" s="29" t="s">
        <v>247</v>
      </c>
      <c r="C53" s="5" t="s">
        <v>1004</v>
      </c>
      <c r="D53" s="10">
        <v>1</v>
      </c>
      <c r="E53" s="28">
        <f>일위대가목록!E54</f>
        <v>0</v>
      </c>
      <c r="F53" s="27">
        <f t="shared" si="8"/>
        <v>0</v>
      </c>
      <c r="G53" s="28">
        <f>일위대가목록!F54</f>
        <v>12894</v>
      </c>
      <c r="H53" s="27">
        <f t="shared" si="9"/>
        <v>12894</v>
      </c>
      <c r="I53" s="28">
        <f>일위대가목록!G54</f>
        <v>0</v>
      </c>
      <c r="J53" s="27">
        <f t="shared" si="10"/>
        <v>0</v>
      </c>
      <c r="K53" s="27">
        <f t="shared" si="11"/>
        <v>12894</v>
      </c>
      <c r="L53" s="27">
        <f t="shared" si="12"/>
        <v>12894</v>
      </c>
      <c r="M53" s="29" t="s">
        <v>858</v>
      </c>
      <c r="N53" s="7" t="s">
        <v>1047</v>
      </c>
      <c r="O53" s="14" t="s">
        <v>291</v>
      </c>
      <c r="P53" s="14" t="s">
        <v>823</v>
      </c>
      <c r="Q53" s="14" t="s">
        <v>823</v>
      </c>
      <c r="R53" s="14" t="s">
        <v>228</v>
      </c>
      <c r="S53" s="31">
        <v>130</v>
      </c>
      <c r="T53" s="14" t="s">
        <v>823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</row>
    <row r="54" spans="1:28" ht="29.1" customHeight="1" x14ac:dyDescent="0.3">
      <c r="A54" s="5" t="s">
        <v>621</v>
      </c>
      <c r="B54" s="5" t="s">
        <v>823</v>
      </c>
      <c r="C54" s="5" t="s">
        <v>823</v>
      </c>
      <c r="D54" s="5" t="s">
        <v>823</v>
      </c>
      <c r="E54" s="28">
        <v>0</v>
      </c>
      <c r="F54" s="28">
        <f>TRUNC(SUMIF(R41:R53, " ", F41:F53),0)</f>
        <v>8283</v>
      </c>
      <c r="G54" s="28">
        <v>0</v>
      </c>
      <c r="H54" s="28">
        <f>TRUNC(SUMIF(R41:R53, " ", H41:H53),0)</f>
        <v>12894</v>
      </c>
      <c r="I54" s="28">
        <v>0</v>
      </c>
      <c r="J54" s="27">
        <f>TRUNC(SUMIF(R41:R53, " ", J41:J53),0)</f>
        <v>0</v>
      </c>
      <c r="K54" s="20" t="s">
        <v>823</v>
      </c>
      <c r="L54" s="28">
        <f>F54+H54+J54</f>
        <v>21177</v>
      </c>
      <c r="M54" s="29"/>
      <c r="N54" s="24" t="s">
        <v>747</v>
      </c>
      <c r="O54" s="4" t="s">
        <v>747</v>
      </c>
    </row>
    <row r="55" spans="1:28" ht="29.1" customHeight="1" x14ac:dyDescent="0.3">
      <c r="A55" s="5" t="s">
        <v>823</v>
      </c>
      <c r="B55" s="5" t="s">
        <v>823</v>
      </c>
      <c r="C55" s="5" t="s">
        <v>823</v>
      </c>
      <c r="D55" s="5" t="s">
        <v>823</v>
      </c>
      <c r="E55" s="5" t="s">
        <v>823</v>
      </c>
      <c r="F55" s="5" t="s">
        <v>823</v>
      </c>
      <c r="G55" s="5" t="s">
        <v>823</v>
      </c>
      <c r="H55" s="5" t="s">
        <v>823</v>
      </c>
      <c r="I55" s="5" t="s">
        <v>823</v>
      </c>
      <c r="J55" s="5" t="s">
        <v>823</v>
      </c>
      <c r="K55" s="5" t="s">
        <v>823</v>
      </c>
      <c r="L55" s="5" t="s">
        <v>823</v>
      </c>
      <c r="M55" s="5" t="s">
        <v>823</v>
      </c>
    </row>
    <row r="56" spans="1:28" ht="29.1" customHeight="1" x14ac:dyDescent="0.3">
      <c r="A56" s="48" t="s">
        <v>1217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50"/>
      <c r="N56" s="7" t="s">
        <v>1115</v>
      </c>
    </row>
    <row r="57" spans="1:28" ht="29.1" customHeight="1" x14ac:dyDescent="0.3">
      <c r="A57" s="5" t="s">
        <v>15</v>
      </c>
      <c r="B57" s="29" t="s">
        <v>891</v>
      </c>
      <c r="C57" s="5" t="s">
        <v>554</v>
      </c>
      <c r="D57" s="10">
        <v>1</v>
      </c>
      <c r="E57" s="28">
        <f>단가대비표!U50</f>
        <v>77000</v>
      </c>
      <c r="F57" s="27">
        <f>TRUNC(D57*E57,2)</f>
        <v>77000</v>
      </c>
      <c r="G57" s="28">
        <f>단가대비표!V50</f>
        <v>0</v>
      </c>
      <c r="H57" s="27">
        <f>TRUNC(D57*G57,2)</f>
        <v>0</v>
      </c>
      <c r="I57" s="28">
        <f>단가대비표!AE50</f>
        <v>0</v>
      </c>
      <c r="J57" s="27">
        <f>TRUNC(D57*I57,2)</f>
        <v>0</v>
      </c>
      <c r="K57" s="27">
        <f t="shared" ref="K57:L59" si="13">E57+G57+I57</f>
        <v>77000</v>
      </c>
      <c r="L57" s="27">
        <f t="shared" si="13"/>
        <v>77000</v>
      </c>
      <c r="M57" s="29" t="s">
        <v>1227</v>
      </c>
      <c r="N57" s="7" t="s">
        <v>1115</v>
      </c>
      <c r="O57" s="14" t="s">
        <v>1077</v>
      </c>
      <c r="P57" s="14" t="s">
        <v>823</v>
      </c>
      <c r="Q57" s="14" t="s">
        <v>823</v>
      </c>
      <c r="R57" s="14" t="s">
        <v>123</v>
      </c>
      <c r="S57" s="31">
        <v>10</v>
      </c>
      <c r="T57" s="14" t="s">
        <v>823</v>
      </c>
      <c r="U57" s="31">
        <v>0</v>
      </c>
      <c r="V57" s="31">
        <v>1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</row>
    <row r="58" spans="1:28" ht="29.1" customHeight="1" x14ac:dyDescent="0.3">
      <c r="A58" s="5" t="s">
        <v>486</v>
      </c>
      <c r="B58" s="29" t="s">
        <v>1285</v>
      </c>
      <c r="C58" s="5" t="s">
        <v>537</v>
      </c>
      <c r="D58" s="10">
        <v>2</v>
      </c>
      <c r="E58" s="28">
        <f>단가대비표!U46</f>
        <v>19600</v>
      </c>
      <c r="F58" s="27">
        <f>TRUNC(D58*E58,2)</f>
        <v>39200</v>
      </c>
      <c r="G58" s="28">
        <f>단가대비표!V46</f>
        <v>0</v>
      </c>
      <c r="H58" s="27">
        <f>TRUNC(D58*G58,2)</f>
        <v>0</v>
      </c>
      <c r="I58" s="28">
        <f>단가대비표!AE46</f>
        <v>0</v>
      </c>
      <c r="J58" s="27">
        <f>TRUNC(D58*I58,2)</f>
        <v>0</v>
      </c>
      <c r="K58" s="27">
        <f t="shared" si="13"/>
        <v>19600</v>
      </c>
      <c r="L58" s="27">
        <f t="shared" si="13"/>
        <v>39200</v>
      </c>
      <c r="M58" s="29" t="s">
        <v>111</v>
      </c>
      <c r="N58" s="7" t="s">
        <v>1115</v>
      </c>
      <c r="O58" s="14" t="s">
        <v>1122</v>
      </c>
      <c r="P58" s="14" t="s">
        <v>823</v>
      </c>
      <c r="Q58" s="14" t="s">
        <v>823</v>
      </c>
      <c r="R58" s="14" t="s">
        <v>123</v>
      </c>
      <c r="S58" s="31">
        <v>20</v>
      </c>
      <c r="T58" s="14" t="s">
        <v>823</v>
      </c>
      <c r="U58" s="31">
        <v>0</v>
      </c>
      <c r="V58" s="31">
        <v>1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</row>
    <row r="59" spans="1:28" ht="29.1" customHeight="1" x14ac:dyDescent="0.3">
      <c r="A59" s="5" t="s">
        <v>455</v>
      </c>
      <c r="B59" s="29" t="s">
        <v>204</v>
      </c>
      <c r="C59" s="5" t="s">
        <v>136</v>
      </c>
      <c r="D59" s="10">
        <v>1</v>
      </c>
      <c r="E59" s="27">
        <f>TRUNC(SUMIF(V57:V59, RIGHTB(O59, 1), F57:F59)*U59, 2)</f>
        <v>17430</v>
      </c>
      <c r="F59" s="27">
        <f>TRUNC(D59*E59,2)</f>
        <v>17430</v>
      </c>
      <c r="G59" s="27">
        <v>0</v>
      </c>
      <c r="H59" s="27">
        <f>TRUNC(D59*G59,2)</f>
        <v>0</v>
      </c>
      <c r="I59" s="27">
        <v>0</v>
      </c>
      <c r="J59" s="27">
        <f>TRUNC(D59*I59,2)</f>
        <v>0</v>
      </c>
      <c r="K59" s="27">
        <f t="shared" si="13"/>
        <v>17430</v>
      </c>
      <c r="L59" s="27">
        <f t="shared" si="13"/>
        <v>17430</v>
      </c>
      <c r="M59" s="29"/>
      <c r="N59" s="7" t="s">
        <v>1115</v>
      </c>
      <c r="O59" s="14" t="s">
        <v>572</v>
      </c>
      <c r="P59" s="14" t="s">
        <v>823</v>
      </c>
      <c r="Q59" s="14" t="s">
        <v>823</v>
      </c>
      <c r="R59" s="14" t="s">
        <v>228</v>
      </c>
      <c r="S59" s="31">
        <v>30</v>
      </c>
      <c r="T59" s="14" t="s">
        <v>1204</v>
      </c>
      <c r="U59" s="31">
        <v>0.15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</row>
    <row r="60" spans="1:28" ht="29.1" customHeight="1" x14ac:dyDescent="0.3">
      <c r="A60" s="5" t="s">
        <v>621</v>
      </c>
      <c r="B60" s="5" t="s">
        <v>823</v>
      </c>
      <c r="C60" s="5" t="s">
        <v>823</v>
      </c>
      <c r="D60" s="5" t="s">
        <v>823</v>
      </c>
      <c r="E60" s="28">
        <v>0</v>
      </c>
      <c r="F60" s="28">
        <f>TRUNC(SUMIF(R57:R59, " ", F57:F59),0)</f>
        <v>17430</v>
      </c>
      <c r="G60" s="28">
        <v>0</v>
      </c>
      <c r="H60" s="28">
        <f>TRUNC(SUMIF(R57:R59, " ", H57:H59),0)</f>
        <v>0</v>
      </c>
      <c r="I60" s="28">
        <v>0</v>
      </c>
      <c r="J60" s="27">
        <f>TRUNC(SUMIF(R57:R59, " ", J57:J59),0)</f>
        <v>0</v>
      </c>
      <c r="K60" s="20" t="s">
        <v>823</v>
      </c>
      <c r="L60" s="28">
        <f>F60+H60+J60</f>
        <v>17430</v>
      </c>
      <c r="M60" s="29"/>
      <c r="N60" s="24" t="s">
        <v>747</v>
      </c>
      <c r="O60" s="4" t="s">
        <v>747</v>
      </c>
    </row>
    <row r="61" spans="1:28" ht="29.1" customHeight="1" x14ac:dyDescent="0.3">
      <c r="A61" s="5" t="s">
        <v>823</v>
      </c>
      <c r="B61" s="5" t="s">
        <v>823</v>
      </c>
      <c r="C61" s="5" t="s">
        <v>823</v>
      </c>
      <c r="D61" s="5" t="s">
        <v>823</v>
      </c>
      <c r="E61" s="5" t="s">
        <v>823</v>
      </c>
      <c r="F61" s="5" t="s">
        <v>823</v>
      </c>
      <c r="G61" s="5" t="s">
        <v>823</v>
      </c>
      <c r="H61" s="5" t="s">
        <v>823</v>
      </c>
      <c r="I61" s="5" t="s">
        <v>823</v>
      </c>
      <c r="J61" s="5" t="s">
        <v>823</v>
      </c>
      <c r="K61" s="5" t="s">
        <v>823</v>
      </c>
      <c r="L61" s="5" t="s">
        <v>823</v>
      </c>
      <c r="M61" s="5" t="s">
        <v>823</v>
      </c>
    </row>
    <row r="62" spans="1:28" ht="29.1" customHeight="1" x14ac:dyDescent="0.3">
      <c r="A62" s="48" t="s">
        <v>33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50"/>
      <c r="N62" s="7" t="s">
        <v>957</v>
      </c>
    </row>
    <row r="63" spans="1:28" ht="29.1" customHeight="1" x14ac:dyDescent="0.3">
      <c r="A63" s="5" t="s">
        <v>50</v>
      </c>
      <c r="B63" s="29" t="s">
        <v>247</v>
      </c>
      <c r="C63" s="5" t="s">
        <v>1004</v>
      </c>
      <c r="D63" s="10">
        <v>1</v>
      </c>
      <c r="E63" s="28">
        <f>일위대가목록!E50</f>
        <v>752</v>
      </c>
      <c r="F63" s="27">
        <f>TRUNC(D63*E63,2)</f>
        <v>752</v>
      </c>
      <c r="G63" s="28">
        <f>일위대가목록!F50</f>
        <v>11809</v>
      </c>
      <c r="H63" s="27">
        <f>TRUNC(D63*G63,2)</f>
        <v>11809</v>
      </c>
      <c r="I63" s="28">
        <f>일위대가목록!G50</f>
        <v>236</v>
      </c>
      <c r="J63" s="27">
        <f>TRUNC(D63*I63,2)</f>
        <v>236</v>
      </c>
      <c r="K63" s="27">
        <f>E63+G63+I63</f>
        <v>12797</v>
      </c>
      <c r="L63" s="27">
        <f>F63+H63+J63</f>
        <v>12797</v>
      </c>
      <c r="M63" s="29" t="s">
        <v>1036</v>
      </c>
      <c r="N63" s="7" t="s">
        <v>957</v>
      </c>
      <c r="O63" s="14" t="s">
        <v>69</v>
      </c>
      <c r="P63" s="14" t="s">
        <v>823</v>
      </c>
      <c r="Q63" s="14" t="s">
        <v>823</v>
      </c>
      <c r="R63" s="14" t="s">
        <v>228</v>
      </c>
      <c r="S63" s="31">
        <v>20</v>
      </c>
      <c r="T63" s="14" t="s">
        <v>997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</row>
    <row r="64" spans="1:28" ht="29.1" customHeight="1" x14ac:dyDescent="0.3">
      <c r="A64" s="5" t="s">
        <v>799</v>
      </c>
      <c r="B64" s="29"/>
      <c r="C64" s="5" t="s">
        <v>1004</v>
      </c>
      <c r="D64" s="10">
        <v>1</v>
      </c>
      <c r="E64" s="28">
        <f>일위대가목록!E51</f>
        <v>1485</v>
      </c>
      <c r="F64" s="27">
        <f>TRUNC(D64*E64,2)</f>
        <v>1485</v>
      </c>
      <c r="G64" s="28">
        <f>일위대가목록!F51</f>
        <v>3100</v>
      </c>
      <c r="H64" s="27">
        <f>TRUNC(D64*G64,2)</f>
        <v>3100</v>
      </c>
      <c r="I64" s="28">
        <f>일위대가목록!G51</f>
        <v>0</v>
      </c>
      <c r="J64" s="27">
        <f>TRUNC(D64*I64,2)</f>
        <v>0</v>
      </c>
      <c r="K64" s="27">
        <f>E64+G64+I64</f>
        <v>4585</v>
      </c>
      <c r="L64" s="27">
        <f>F64+H64+J64</f>
        <v>4585</v>
      </c>
      <c r="M64" s="29" t="s">
        <v>137</v>
      </c>
      <c r="N64" s="7" t="s">
        <v>957</v>
      </c>
      <c r="O64" s="14" t="s">
        <v>61</v>
      </c>
      <c r="P64" s="14" t="s">
        <v>823</v>
      </c>
      <c r="Q64" s="14" t="s">
        <v>823</v>
      </c>
      <c r="R64" s="14" t="s">
        <v>228</v>
      </c>
      <c r="S64" s="31">
        <v>30</v>
      </c>
      <c r="T64" s="14" t="s">
        <v>997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</row>
    <row r="65" spans="1:28" ht="29.1" customHeight="1" x14ac:dyDescent="0.3">
      <c r="A65" s="5" t="s">
        <v>621</v>
      </c>
      <c r="B65" s="5" t="s">
        <v>823</v>
      </c>
      <c r="C65" s="5" t="s">
        <v>823</v>
      </c>
      <c r="D65" s="5" t="s">
        <v>823</v>
      </c>
      <c r="E65" s="28">
        <v>0</v>
      </c>
      <c r="F65" s="28">
        <f>TRUNC(SUMIF(R63:R64, " ", F63:F64),0)</f>
        <v>2237</v>
      </c>
      <c r="G65" s="28">
        <v>0</v>
      </c>
      <c r="H65" s="28">
        <f>TRUNC(SUMIF(R63:R64, " ", H63:H64),0)</f>
        <v>14909</v>
      </c>
      <c r="I65" s="28">
        <v>0</v>
      </c>
      <c r="J65" s="27">
        <f>TRUNC(SUMIF(R63:R64, " ", J63:J64),0)</f>
        <v>236</v>
      </c>
      <c r="K65" s="20" t="s">
        <v>823</v>
      </c>
      <c r="L65" s="28">
        <f>F65+H65+J65</f>
        <v>17382</v>
      </c>
      <c r="M65" s="29"/>
      <c r="N65" s="24" t="s">
        <v>747</v>
      </c>
      <c r="O65" s="4" t="s">
        <v>747</v>
      </c>
    </row>
    <row r="66" spans="1:28" ht="29.1" customHeight="1" x14ac:dyDescent="0.3">
      <c r="A66" s="5" t="s">
        <v>823</v>
      </c>
      <c r="B66" s="5" t="s">
        <v>823</v>
      </c>
      <c r="C66" s="5" t="s">
        <v>823</v>
      </c>
      <c r="D66" s="5" t="s">
        <v>823</v>
      </c>
      <c r="E66" s="5" t="s">
        <v>823</v>
      </c>
      <c r="F66" s="5" t="s">
        <v>823</v>
      </c>
      <c r="G66" s="5" t="s">
        <v>823</v>
      </c>
      <c r="H66" s="5" t="s">
        <v>823</v>
      </c>
      <c r="I66" s="5" t="s">
        <v>823</v>
      </c>
      <c r="J66" s="5" t="s">
        <v>823</v>
      </c>
      <c r="K66" s="5" t="s">
        <v>823</v>
      </c>
      <c r="L66" s="5" t="s">
        <v>823</v>
      </c>
      <c r="M66" s="5" t="s">
        <v>823</v>
      </c>
    </row>
    <row r="67" spans="1:28" ht="29.1" customHeight="1" x14ac:dyDescent="0.3">
      <c r="A67" s="48" t="s">
        <v>221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7" t="s">
        <v>246</v>
      </c>
    </row>
    <row r="68" spans="1:28" ht="29.1" customHeight="1" x14ac:dyDescent="0.3">
      <c r="A68" s="5" t="s">
        <v>1011</v>
      </c>
      <c r="B68" s="29" t="s">
        <v>1053</v>
      </c>
      <c r="C68" s="5" t="s">
        <v>1086</v>
      </c>
      <c r="D68" s="10">
        <v>0.4</v>
      </c>
      <c r="E68" s="28">
        <f>단가대비표!U28</f>
        <v>30000</v>
      </c>
      <c r="F68" s="27">
        <f t="shared" ref="F68:F78" si="14">TRUNC(D68*E68,2)</f>
        <v>12000</v>
      </c>
      <c r="G68" s="28">
        <f>단가대비표!V28</f>
        <v>0</v>
      </c>
      <c r="H68" s="27">
        <f t="shared" ref="H68:H78" si="15">TRUNC(D68*G68,2)</f>
        <v>0</v>
      </c>
      <c r="I68" s="28">
        <f>단가대비표!AE28</f>
        <v>0</v>
      </c>
      <c r="J68" s="27">
        <f t="shared" ref="J68:J78" si="16">TRUNC(D68*I68,2)</f>
        <v>0</v>
      </c>
      <c r="K68" s="27">
        <f t="shared" ref="K68:K78" si="17">E68+G68+I68</f>
        <v>30000</v>
      </c>
      <c r="L68" s="27">
        <f t="shared" ref="L68:L78" si="18">F68+H68+J68</f>
        <v>12000</v>
      </c>
      <c r="M68" s="29" t="s">
        <v>827</v>
      </c>
      <c r="N68" s="7" t="s">
        <v>246</v>
      </c>
      <c r="O68" s="14" t="s">
        <v>81</v>
      </c>
      <c r="P68" s="14" t="s">
        <v>823</v>
      </c>
      <c r="Q68" s="14" t="s">
        <v>823</v>
      </c>
      <c r="R68" s="14" t="s">
        <v>228</v>
      </c>
      <c r="S68" s="31">
        <v>10</v>
      </c>
      <c r="T68" s="14" t="s">
        <v>823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</row>
    <row r="69" spans="1:28" ht="29.1" customHeight="1" x14ac:dyDescent="0.3">
      <c r="A69" s="5" t="s">
        <v>1011</v>
      </c>
      <c r="B69" s="29" t="s">
        <v>1057</v>
      </c>
      <c r="C69" s="5" t="s">
        <v>1086</v>
      </c>
      <c r="D69" s="10">
        <v>0.4</v>
      </c>
      <c r="E69" s="28">
        <f>단가대비표!U30</f>
        <v>9209</v>
      </c>
      <c r="F69" s="27">
        <f t="shared" si="14"/>
        <v>3683.6</v>
      </c>
      <c r="G69" s="28">
        <f>단가대비표!V30</f>
        <v>0</v>
      </c>
      <c r="H69" s="27">
        <f t="shared" si="15"/>
        <v>0</v>
      </c>
      <c r="I69" s="28">
        <f>단가대비표!AE30</f>
        <v>0</v>
      </c>
      <c r="J69" s="27">
        <f t="shared" si="16"/>
        <v>0</v>
      </c>
      <c r="K69" s="27">
        <f t="shared" si="17"/>
        <v>9209</v>
      </c>
      <c r="L69" s="27">
        <f t="shared" si="18"/>
        <v>3683.6</v>
      </c>
      <c r="M69" s="29" t="s">
        <v>258</v>
      </c>
      <c r="N69" s="7" t="s">
        <v>246</v>
      </c>
      <c r="O69" s="14" t="s">
        <v>597</v>
      </c>
      <c r="P69" s="14" t="s">
        <v>823</v>
      </c>
      <c r="Q69" s="14" t="s">
        <v>823</v>
      </c>
      <c r="R69" s="14" t="s">
        <v>228</v>
      </c>
      <c r="S69" s="31">
        <v>20</v>
      </c>
      <c r="T69" s="14" t="s">
        <v>823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</row>
    <row r="70" spans="1:28" ht="29.1" customHeight="1" x14ac:dyDescent="0.3">
      <c r="A70" s="5" t="s">
        <v>1011</v>
      </c>
      <c r="B70" s="29" t="s">
        <v>1191</v>
      </c>
      <c r="C70" s="5" t="s">
        <v>1086</v>
      </c>
      <c r="D70" s="10">
        <v>0.8</v>
      </c>
      <c r="E70" s="28">
        <f>단가대비표!U33</f>
        <v>25000</v>
      </c>
      <c r="F70" s="27">
        <f t="shared" si="14"/>
        <v>20000</v>
      </c>
      <c r="G70" s="28">
        <f>단가대비표!V33</f>
        <v>0</v>
      </c>
      <c r="H70" s="27">
        <f t="shared" si="15"/>
        <v>0</v>
      </c>
      <c r="I70" s="28">
        <f>단가대비표!AE33</f>
        <v>0</v>
      </c>
      <c r="J70" s="27">
        <f t="shared" si="16"/>
        <v>0</v>
      </c>
      <c r="K70" s="27">
        <f t="shared" si="17"/>
        <v>25000</v>
      </c>
      <c r="L70" s="27">
        <f t="shared" si="18"/>
        <v>20000</v>
      </c>
      <c r="M70" s="29" t="s">
        <v>100</v>
      </c>
      <c r="N70" s="7" t="s">
        <v>246</v>
      </c>
      <c r="O70" s="14" t="s">
        <v>1299</v>
      </c>
      <c r="P70" s="14" t="s">
        <v>823</v>
      </c>
      <c r="Q70" s="14" t="s">
        <v>823</v>
      </c>
      <c r="R70" s="14" t="s">
        <v>228</v>
      </c>
      <c r="S70" s="31">
        <v>30</v>
      </c>
      <c r="T70" s="14" t="s">
        <v>823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</row>
    <row r="71" spans="1:28" ht="29.1" customHeight="1" x14ac:dyDescent="0.3">
      <c r="A71" s="5" t="s">
        <v>1011</v>
      </c>
      <c r="B71" s="29" t="s">
        <v>810</v>
      </c>
      <c r="C71" s="5" t="s">
        <v>1086</v>
      </c>
      <c r="D71" s="10">
        <v>0.4</v>
      </c>
      <c r="E71" s="28">
        <f>단가대비표!U36</f>
        <v>5700</v>
      </c>
      <c r="F71" s="27">
        <f t="shared" si="14"/>
        <v>2280</v>
      </c>
      <c r="G71" s="28">
        <f>단가대비표!V36</f>
        <v>0</v>
      </c>
      <c r="H71" s="27">
        <f t="shared" si="15"/>
        <v>0</v>
      </c>
      <c r="I71" s="28">
        <f>단가대비표!AE36</f>
        <v>0</v>
      </c>
      <c r="J71" s="27">
        <f t="shared" si="16"/>
        <v>0</v>
      </c>
      <c r="K71" s="27">
        <f t="shared" si="17"/>
        <v>5700</v>
      </c>
      <c r="L71" s="27">
        <f t="shared" si="18"/>
        <v>2280</v>
      </c>
      <c r="M71" s="29" t="s">
        <v>895</v>
      </c>
      <c r="N71" s="7" t="s">
        <v>246</v>
      </c>
      <c r="O71" s="14" t="s">
        <v>901</v>
      </c>
      <c r="P71" s="14" t="s">
        <v>823</v>
      </c>
      <c r="Q71" s="14" t="s">
        <v>823</v>
      </c>
      <c r="R71" s="14" t="s">
        <v>228</v>
      </c>
      <c r="S71" s="31">
        <v>40</v>
      </c>
      <c r="T71" s="14" t="s">
        <v>823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</row>
    <row r="72" spans="1:28" ht="29.1" customHeight="1" x14ac:dyDescent="0.3">
      <c r="A72" s="5" t="s">
        <v>1011</v>
      </c>
      <c r="B72" s="29" t="s">
        <v>610</v>
      </c>
      <c r="C72" s="5" t="s">
        <v>1086</v>
      </c>
      <c r="D72" s="10">
        <v>0.2</v>
      </c>
      <c r="E72" s="28">
        <f>단가대비표!U34</f>
        <v>1440</v>
      </c>
      <c r="F72" s="27">
        <f t="shared" si="14"/>
        <v>288</v>
      </c>
      <c r="G72" s="28">
        <f>단가대비표!V34</f>
        <v>0</v>
      </c>
      <c r="H72" s="27">
        <f t="shared" si="15"/>
        <v>0</v>
      </c>
      <c r="I72" s="28">
        <f>단가대비표!AE34</f>
        <v>0</v>
      </c>
      <c r="J72" s="27">
        <f t="shared" si="16"/>
        <v>0</v>
      </c>
      <c r="K72" s="27">
        <f t="shared" si="17"/>
        <v>1440</v>
      </c>
      <c r="L72" s="27">
        <f t="shared" si="18"/>
        <v>288</v>
      </c>
      <c r="M72" s="29" t="s">
        <v>814</v>
      </c>
      <c r="N72" s="7" t="s">
        <v>246</v>
      </c>
      <c r="O72" s="14" t="s">
        <v>471</v>
      </c>
      <c r="P72" s="14" t="s">
        <v>823</v>
      </c>
      <c r="Q72" s="14" t="s">
        <v>823</v>
      </c>
      <c r="R72" s="14" t="s">
        <v>228</v>
      </c>
      <c r="S72" s="31">
        <v>50</v>
      </c>
      <c r="T72" s="14" t="s">
        <v>823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</row>
    <row r="73" spans="1:28" ht="29.1" customHeight="1" x14ac:dyDescent="0.3">
      <c r="A73" s="5" t="s">
        <v>1011</v>
      </c>
      <c r="B73" s="29" t="s">
        <v>1144</v>
      </c>
      <c r="C73" s="5" t="s">
        <v>1086</v>
      </c>
      <c r="D73" s="10">
        <v>0.4</v>
      </c>
      <c r="E73" s="28">
        <f>단가대비표!U35</f>
        <v>2100</v>
      </c>
      <c r="F73" s="27">
        <f t="shared" si="14"/>
        <v>840</v>
      </c>
      <c r="G73" s="28">
        <f>단가대비표!V35</f>
        <v>0</v>
      </c>
      <c r="H73" s="27">
        <f t="shared" si="15"/>
        <v>0</v>
      </c>
      <c r="I73" s="28">
        <f>단가대비표!AE35</f>
        <v>0</v>
      </c>
      <c r="J73" s="27">
        <f t="shared" si="16"/>
        <v>0</v>
      </c>
      <c r="K73" s="27">
        <f t="shared" si="17"/>
        <v>2100</v>
      </c>
      <c r="L73" s="27">
        <f t="shared" si="18"/>
        <v>840</v>
      </c>
      <c r="M73" s="29" t="s">
        <v>1137</v>
      </c>
      <c r="N73" s="7" t="s">
        <v>246</v>
      </c>
      <c r="O73" s="14" t="s">
        <v>1190</v>
      </c>
      <c r="P73" s="14" t="s">
        <v>823</v>
      </c>
      <c r="Q73" s="14" t="s">
        <v>823</v>
      </c>
      <c r="R73" s="14" t="s">
        <v>228</v>
      </c>
      <c r="S73" s="31">
        <v>60</v>
      </c>
      <c r="T73" s="14" t="s">
        <v>823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</row>
    <row r="74" spans="1:28" ht="29.1" customHeight="1" x14ac:dyDescent="0.3">
      <c r="A74" s="5" t="s">
        <v>1011</v>
      </c>
      <c r="B74" s="29" t="s">
        <v>263</v>
      </c>
      <c r="C74" s="5" t="s">
        <v>1086</v>
      </c>
      <c r="D74" s="10">
        <v>0.8</v>
      </c>
      <c r="E74" s="28">
        <f>단가대비표!U26</f>
        <v>1100</v>
      </c>
      <c r="F74" s="27">
        <f t="shared" si="14"/>
        <v>880</v>
      </c>
      <c r="G74" s="28">
        <f>단가대비표!V26</f>
        <v>0</v>
      </c>
      <c r="H74" s="27">
        <f t="shared" si="15"/>
        <v>0</v>
      </c>
      <c r="I74" s="28">
        <f>단가대비표!AE26</f>
        <v>0</v>
      </c>
      <c r="J74" s="27">
        <f t="shared" si="16"/>
        <v>0</v>
      </c>
      <c r="K74" s="27">
        <f t="shared" si="17"/>
        <v>1100</v>
      </c>
      <c r="L74" s="27">
        <f t="shared" si="18"/>
        <v>880</v>
      </c>
      <c r="M74" s="29" t="s">
        <v>784</v>
      </c>
      <c r="N74" s="7" t="s">
        <v>246</v>
      </c>
      <c r="O74" s="14" t="s">
        <v>859</v>
      </c>
      <c r="P74" s="14" t="s">
        <v>823</v>
      </c>
      <c r="Q74" s="14" t="s">
        <v>823</v>
      </c>
      <c r="R74" s="14" t="s">
        <v>228</v>
      </c>
      <c r="S74" s="31">
        <v>70</v>
      </c>
      <c r="T74" s="14" t="s">
        <v>823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</row>
    <row r="75" spans="1:28" ht="29.1" customHeight="1" x14ac:dyDescent="0.3">
      <c r="A75" s="5" t="s">
        <v>1011</v>
      </c>
      <c r="B75" s="29" t="s">
        <v>704</v>
      </c>
      <c r="C75" s="5" t="s">
        <v>1086</v>
      </c>
      <c r="D75" s="10">
        <v>0.6</v>
      </c>
      <c r="E75" s="28">
        <f>단가대비표!U37</f>
        <v>9500</v>
      </c>
      <c r="F75" s="27">
        <f t="shared" si="14"/>
        <v>5700</v>
      </c>
      <c r="G75" s="28">
        <f>단가대비표!V37</f>
        <v>0</v>
      </c>
      <c r="H75" s="27">
        <f t="shared" si="15"/>
        <v>0</v>
      </c>
      <c r="I75" s="28">
        <f>단가대비표!AE37</f>
        <v>0</v>
      </c>
      <c r="J75" s="27">
        <f t="shared" si="16"/>
        <v>0</v>
      </c>
      <c r="K75" s="27">
        <f t="shared" si="17"/>
        <v>9500</v>
      </c>
      <c r="L75" s="27">
        <f t="shared" si="18"/>
        <v>5700</v>
      </c>
      <c r="M75" s="29" t="s">
        <v>1259</v>
      </c>
      <c r="N75" s="7" t="s">
        <v>246</v>
      </c>
      <c r="O75" s="14" t="s">
        <v>709</v>
      </c>
      <c r="P75" s="14" t="s">
        <v>823</v>
      </c>
      <c r="Q75" s="14" t="s">
        <v>823</v>
      </c>
      <c r="R75" s="14" t="s">
        <v>228</v>
      </c>
      <c r="S75" s="31">
        <v>80</v>
      </c>
      <c r="T75" s="14" t="s">
        <v>823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</row>
    <row r="76" spans="1:28" ht="29.1" customHeight="1" x14ac:dyDescent="0.3">
      <c r="A76" s="5" t="s">
        <v>1011</v>
      </c>
      <c r="B76" s="29" t="s">
        <v>270</v>
      </c>
      <c r="C76" s="5" t="s">
        <v>1086</v>
      </c>
      <c r="D76" s="10">
        <v>0.6</v>
      </c>
      <c r="E76" s="28">
        <f>단가대비표!U38</f>
        <v>10000</v>
      </c>
      <c r="F76" s="27">
        <f t="shared" si="14"/>
        <v>6000</v>
      </c>
      <c r="G76" s="28">
        <f>단가대비표!V38</f>
        <v>0</v>
      </c>
      <c r="H76" s="27">
        <f t="shared" si="15"/>
        <v>0</v>
      </c>
      <c r="I76" s="28">
        <f>단가대비표!AE38</f>
        <v>0</v>
      </c>
      <c r="J76" s="27">
        <f t="shared" si="16"/>
        <v>0</v>
      </c>
      <c r="K76" s="27">
        <f t="shared" si="17"/>
        <v>10000</v>
      </c>
      <c r="L76" s="27">
        <f t="shared" si="18"/>
        <v>6000</v>
      </c>
      <c r="M76" s="29" t="s">
        <v>690</v>
      </c>
      <c r="N76" s="7" t="s">
        <v>246</v>
      </c>
      <c r="O76" s="14" t="s">
        <v>1215</v>
      </c>
      <c r="P76" s="14" t="s">
        <v>823</v>
      </c>
      <c r="Q76" s="14" t="s">
        <v>823</v>
      </c>
      <c r="R76" s="14" t="s">
        <v>228</v>
      </c>
      <c r="S76" s="31">
        <v>90</v>
      </c>
      <c r="T76" s="14" t="s">
        <v>823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</row>
    <row r="77" spans="1:28" ht="29.1" customHeight="1" x14ac:dyDescent="0.3">
      <c r="A77" s="5" t="s">
        <v>1011</v>
      </c>
      <c r="B77" s="29" t="s">
        <v>918</v>
      </c>
      <c r="C77" s="5" t="s">
        <v>986</v>
      </c>
      <c r="D77" s="10">
        <v>0.7</v>
      </c>
      <c r="E77" s="28">
        <f>단가대비표!U39</f>
        <v>10250</v>
      </c>
      <c r="F77" s="27">
        <f t="shared" si="14"/>
        <v>7175</v>
      </c>
      <c r="G77" s="28">
        <f>단가대비표!V39</f>
        <v>0</v>
      </c>
      <c r="H77" s="27">
        <f t="shared" si="15"/>
        <v>0</v>
      </c>
      <c r="I77" s="28">
        <f>단가대비표!AE39</f>
        <v>0</v>
      </c>
      <c r="J77" s="27">
        <f t="shared" si="16"/>
        <v>0</v>
      </c>
      <c r="K77" s="27">
        <f t="shared" si="17"/>
        <v>10250</v>
      </c>
      <c r="L77" s="27">
        <f t="shared" si="18"/>
        <v>7175</v>
      </c>
      <c r="M77" s="29" t="s">
        <v>748</v>
      </c>
      <c r="N77" s="7" t="s">
        <v>246</v>
      </c>
      <c r="O77" s="14" t="s">
        <v>596</v>
      </c>
      <c r="P77" s="14" t="s">
        <v>823</v>
      </c>
      <c r="Q77" s="14" t="s">
        <v>823</v>
      </c>
      <c r="R77" s="14" t="s">
        <v>228</v>
      </c>
      <c r="S77" s="31">
        <v>100</v>
      </c>
      <c r="T77" s="14" t="s">
        <v>823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</row>
    <row r="78" spans="1:28" ht="29.1" customHeight="1" x14ac:dyDescent="0.3">
      <c r="A78" s="5" t="s">
        <v>787</v>
      </c>
      <c r="B78" s="29" t="s">
        <v>897</v>
      </c>
      <c r="C78" s="5" t="s">
        <v>1001</v>
      </c>
      <c r="D78" s="10">
        <v>1</v>
      </c>
      <c r="E78" s="28">
        <f>일위대가목록!E48</f>
        <v>0</v>
      </c>
      <c r="F78" s="27">
        <f t="shared" si="14"/>
        <v>0</v>
      </c>
      <c r="G78" s="28">
        <f>일위대가목록!F48</f>
        <v>155690</v>
      </c>
      <c r="H78" s="27">
        <f t="shared" si="15"/>
        <v>155690</v>
      </c>
      <c r="I78" s="28">
        <f>일위대가목록!G48</f>
        <v>0</v>
      </c>
      <c r="J78" s="27">
        <f t="shared" si="16"/>
        <v>0</v>
      </c>
      <c r="K78" s="27">
        <f t="shared" si="17"/>
        <v>155690</v>
      </c>
      <c r="L78" s="27">
        <f t="shared" si="18"/>
        <v>155690</v>
      </c>
      <c r="M78" s="29" t="s">
        <v>642</v>
      </c>
      <c r="N78" s="7" t="s">
        <v>246</v>
      </c>
      <c r="O78" s="14" t="s">
        <v>984</v>
      </c>
      <c r="P78" s="14" t="s">
        <v>823</v>
      </c>
      <c r="Q78" s="14" t="s">
        <v>823</v>
      </c>
      <c r="R78" s="14" t="s">
        <v>228</v>
      </c>
      <c r="S78" s="31">
        <v>110</v>
      </c>
      <c r="T78" s="14" t="s">
        <v>823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</row>
    <row r="79" spans="1:28" ht="29.1" customHeight="1" x14ac:dyDescent="0.3">
      <c r="A79" s="5" t="s">
        <v>621</v>
      </c>
      <c r="B79" s="5" t="s">
        <v>823</v>
      </c>
      <c r="C79" s="5" t="s">
        <v>823</v>
      </c>
      <c r="D79" s="5" t="s">
        <v>823</v>
      </c>
      <c r="E79" s="28">
        <v>0</v>
      </c>
      <c r="F79" s="28">
        <f>TRUNC(SUMIF(R68:R78, " ", F68:F78),0)</f>
        <v>58846</v>
      </c>
      <c r="G79" s="28">
        <v>0</v>
      </c>
      <c r="H79" s="28">
        <f>TRUNC(SUMIF(R68:R78, " ", H68:H78),0)</f>
        <v>155690</v>
      </c>
      <c r="I79" s="28">
        <v>0</v>
      </c>
      <c r="J79" s="27">
        <f>TRUNC(SUMIF(R68:R78, " ", J68:J78),0)</f>
        <v>0</v>
      </c>
      <c r="K79" s="20" t="s">
        <v>823</v>
      </c>
      <c r="L79" s="28">
        <f>F79+H79+J79</f>
        <v>214536</v>
      </c>
      <c r="M79" s="29"/>
      <c r="N79" s="24" t="s">
        <v>747</v>
      </c>
      <c r="O79" s="4" t="s">
        <v>747</v>
      </c>
    </row>
    <row r="80" spans="1:28" ht="29.1" customHeight="1" x14ac:dyDescent="0.3">
      <c r="A80" s="5" t="s">
        <v>823</v>
      </c>
      <c r="B80" s="5" t="s">
        <v>823</v>
      </c>
      <c r="C80" s="5" t="s">
        <v>823</v>
      </c>
      <c r="D80" s="5" t="s">
        <v>823</v>
      </c>
      <c r="E80" s="5" t="s">
        <v>823</v>
      </c>
      <c r="F80" s="5" t="s">
        <v>823</v>
      </c>
      <c r="G80" s="5" t="s">
        <v>823</v>
      </c>
      <c r="H80" s="5" t="s">
        <v>823</v>
      </c>
      <c r="I80" s="5" t="s">
        <v>823</v>
      </c>
      <c r="J80" s="5" t="s">
        <v>823</v>
      </c>
      <c r="K80" s="5" t="s">
        <v>823</v>
      </c>
      <c r="L80" s="5" t="s">
        <v>823</v>
      </c>
      <c r="M80" s="5" t="s">
        <v>823</v>
      </c>
    </row>
    <row r="81" spans="1:28" ht="29.1" customHeight="1" x14ac:dyDescent="0.3">
      <c r="A81" s="48" t="s">
        <v>9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7" t="s">
        <v>1046</v>
      </c>
    </row>
    <row r="82" spans="1:28" ht="29.1" customHeight="1" x14ac:dyDescent="0.3">
      <c r="A82" s="5" t="s">
        <v>211</v>
      </c>
      <c r="B82" s="29" t="s">
        <v>319</v>
      </c>
      <c r="C82" s="5" t="s">
        <v>1004</v>
      </c>
      <c r="D82" s="10">
        <v>2</v>
      </c>
      <c r="E82" s="28">
        <f>일위대가목록!E66</f>
        <v>1637</v>
      </c>
      <c r="F82" s="27">
        <f>TRUNC(D82*E82,2)</f>
        <v>3274</v>
      </c>
      <c r="G82" s="28">
        <f>일위대가목록!F66</f>
        <v>7302</v>
      </c>
      <c r="H82" s="27">
        <f>TRUNC(D82*G82,2)</f>
        <v>14604</v>
      </c>
      <c r="I82" s="28">
        <f>일위대가목록!G66</f>
        <v>0</v>
      </c>
      <c r="J82" s="27">
        <f>TRUNC(D82*I82,2)</f>
        <v>0</v>
      </c>
      <c r="K82" s="27">
        <f t="shared" ref="K82:L84" si="19">E82+G82+I82</f>
        <v>8939</v>
      </c>
      <c r="L82" s="27">
        <f t="shared" si="19"/>
        <v>17878</v>
      </c>
      <c r="M82" s="29" t="s">
        <v>1106</v>
      </c>
      <c r="N82" s="7" t="s">
        <v>1046</v>
      </c>
      <c r="O82" s="14" t="s">
        <v>565</v>
      </c>
      <c r="P82" s="14" t="s">
        <v>823</v>
      </c>
      <c r="Q82" s="14" t="s">
        <v>823</v>
      </c>
      <c r="R82" s="14" t="s">
        <v>228</v>
      </c>
      <c r="S82" s="31">
        <v>10</v>
      </c>
      <c r="T82" s="14" t="s">
        <v>57</v>
      </c>
      <c r="U82" s="31">
        <v>0</v>
      </c>
      <c r="V82" s="31">
        <v>1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</row>
    <row r="83" spans="1:28" ht="29.1" customHeight="1" x14ac:dyDescent="0.3">
      <c r="A83" s="5" t="s">
        <v>959</v>
      </c>
      <c r="B83" s="29" t="s">
        <v>1269</v>
      </c>
      <c r="C83" s="5" t="s">
        <v>136</v>
      </c>
      <c r="D83" s="10">
        <v>1</v>
      </c>
      <c r="E83" s="27">
        <v>0</v>
      </c>
      <c r="F83" s="27">
        <f>TRUNC(D83*E83,2)</f>
        <v>0</v>
      </c>
      <c r="G83" s="27">
        <f>TRUNC(SUMIF(V82:V84, RIGHTB(O83, 1), H82:H84)*U83, 2)</f>
        <v>4381.2</v>
      </c>
      <c r="H83" s="27">
        <f>TRUNC(D83*G83,2)</f>
        <v>4381.2</v>
      </c>
      <c r="I83" s="27">
        <v>0</v>
      </c>
      <c r="J83" s="27">
        <f>TRUNC(D83*I83,2)</f>
        <v>0</v>
      </c>
      <c r="K83" s="27">
        <f t="shared" si="19"/>
        <v>4381.2</v>
      </c>
      <c r="L83" s="27">
        <f t="shared" si="19"/>
        <v>4381.2</v>
      </c>
      <c r="M83" s="29"/>
      <c r="N83" s="7" t="s">
        <v>1046</v>
      </c>
      <c r="O83" s="14" t="s">
        <v>572</v>
      </c>
      <c r="P83" s="14" t="s">
        <v>823</v>
      </c>
      <c r="Q83" s="14" t="s">
        <v>823</v>
      </c>
      <c r="R83" s="14" t="s">
        <v>228</v>
      </c>
      <c r="S83" s="31">
        <v>20</v>
      </c>
      <c r="T83" s="14" t="s">
        <v>1121</v>
      </c>
      <c r="U83" s="31">
        <v>0.3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</row>
    <row r="84" spans="1:28" ht="29.1" customHeight="1" x14ac:dyDescent="0.3">
      <c r="A84" s="5" t="s">
        <v>1247</v>
      </c>
      <c r="B84" s="29" t="s">
        <v>13</v>
      </c>
      <c r="C84" s="5" t="s">
        <v>554</v>
      </c>
      <c r="D84" s="10">
        <v>4.6899999999999997E-2</v>
      </c>
      <c r="E84" s="28">
        <f>단가대비표!U11</f>
        <v>31000</v>
      </c>
      <c r="F84" s="27">
        <f>TRUNC(D84*E84,2)</f>
        <v>1453.9</v>
      </c>
      <c r="G84" s="28">
        <f>단가대비표!V11</f>
        <v>0</v>
      </c>
      <c r="H84" s="27">
        <f>TRUNC(D84*G84,2)</f>
        <v>0</v>
      </c>
      <c r="I84" s="28">
        <f>단가대비표!AE11</f>
        <v>0</v>
      </c>
      <c r="J84" s="27">
        <f>TRUNC(D84*I84,2)</f>
        <v>0</v>
      </c>
      <c r="K84" s="27">
        <f t="shared" si="19"/>
        <v>31000</v>
      </c>
      <c r="L84" s="27">
        <f t="shared" si="19"/>
        <v>1453.9</v>
      </c>
      <c r="M84" s="29" t="s">
        <v>26</v>
      </c>
      <c r="N84" s="7" t="s">
        <v>1046</v>
      </c>
      <c r="O84" s="14" t="s">
        <v>401</v>
      </c>
      <c r="P84" s="14" t="s">
        <v>823</v>
      </c>
      <c r="Q84" s="14" t="s">
        <v>823</v>
      </c>
      <c r="R84" s="14" t="s">
        <v>228</v>
      </c>
      <c r="S84" s="31">
        <v>30</v>
      </c>
      <c r="T84" s="14" t="s">
        <v>1035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</row>
    <row r="85" spans="1:28" ht="29.1" customHeight="1" x14ac:dyDescent="0.3">
      <c r="A85" s="5" t="s">
        <v>621</v>
      </c>
      <c r="B85" s="5" t="s">
        <v>823</v>
      </c>
      <c r="C85" s="5" t="s">
        <v>823</v>
      </c>
      <c r="D85" s="5" t="s">
        <v>823</v>
      </c>
      <c r="E85" s="28">
        <v>0</v>
      </c>
      <c r="F85" s="28">
        <f>TRUNC(SUMIF(R82:R84, " ", F82:F84),0)</f>
        <v>4727</v>
      </c>
      <c r="G85" s="28">
        <v>0</v>
      </c>
      <c r="H85" s="28">
        <f>TRUNC(SUMIF(R82:R84, " ", H82:H84),0)</f>
        <v>18985</v>
      </c>
      <c r="I85" s="28">
        <v>0</v>
      </c>
      <c r="J85" s="27">
        <f>TRUNC(SUMIF(R82:R84, " ", J82:J84),0)</f>
        <v>0</v>
      </c>
      <c r="K85" s="20" t="s">
        <v>823</v>
      </c>
      <c r="L85" s="28">
        <f>F85+H85+J85</f>
        <v>23712</v>
      </c>
      <c r="M85" s="29"/>
      <c r="N85" s="24" t="s">
        <v>747</v>
      </c>
      <c r="O85" s="4" t="s">
        <v>747</v>
      </c>
    </row>
    <row r="86" spans="1:28" ht="29.1" customHeight="1" x14ac:dyDescent="0.3">
      <c r="A86" s="5" t="s">
        <v>823</v>
      </c>
      <c r="B86" s="5" t="s">
        <v>823</v>
      </c>
      <c r="C86" s="5" t="s">
        <v>823</v>
      </c>
      <c r="D86" s="5" t="s">
        <v>823</v>
      </c>
      <c r="E86" s="5" t="s">
        <v>823</v>
      </c>
      <c r="F86" s="5" t="s">
        <v>823</v>
      </c>
      <c r="G86" s="5" t="s">
        <v>823</v>
      </c>
      <c r="H86" s="5" t="s">
        <v>823</v>
      </c>
      <c r="I86" s="5" t="s">
        <v>823</v>
      </c>
      <c r="J86" s="5" t="s">
        <v>823</v>
      </c>
      <c r="K86" s="5" t="s">
        <v>823</v>
      </c>
      <c r="L86" s="5" t="s">
        <v>823</v>
      </c>
      <c r="M86" s="5" t="s">
        <v>823</v>
      </c>
    </row>
    <row r="87" spans="1:28" ht="29.1" customHeight="1" x14ac:dyDescent="0.3">
      <c r="A87" s="48" t="s">
        <v>847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7" t="s">
        <v>795</v>
      </c>
    </row>
    <row r="88" spans="1:28" ht="29.1" customHeight="1" x14ac:dyDescent="0.3">
      <c r="A88" s="5" t="s">
        <v>1250</v>
      </c>
      <c r="B88" s="29" t="s">
        <v>269</v>
      </c>
      <c r="C88" s="5" t="s">
        <v>656</v>
      </c>
      <c r="D88" s="10">
        <v>0.05</v>
      </c>
      <c r="E88" s="28">
        <f>단가대비표!U81</f>
        <v>0</v>
      </c>
      <c r="F88" s="27">
        <f>TRUNC(D88*E88,2)</f>
        <v>0</v>
      </c>
      <c r="G88" s="28">
        <f>단가대비표!V81</f>
        <v>171037</v>
      </c>
      <c r="H88" s="27">
        <f>TRUNC(D88*G88,2)</f>
        <v>8551.85</v>
      </c>
      <c r="I88" s="28">
        <f>단가대비표!AE81</f>
        <v>0</v>
      </c>
      <c r="J88" s="27">
        <f>TRUNC(D88*I88,2)</f>
        <v>0</v>
      </c>
      <c r="K88" s="27">
        <f>E88+G88+I88</f>
        <v>171037</v>
      </c>
      <c r="L88" s="27">
        <f>F88+H88+J88</f>
        <v>8551.85</v>
      </c>
      <c r="M88" s="29" t="s">
        <v>162</v>
      </c>
      <c r="N88" s="7" t="s">
        <v>795</v>
      </c>
      <c r="O88" s="14" t="s">
        <v>40</v>
      </c>
      <c r="P88" s="14" t="s">
        <v>823</v>
      </c>
      <c r="Q88" s="14" t="s">
        <v>823</v>
      </c>
      <c r="R88" s="14" t="s">
        <v>228</v>
      </c>
      <c r="S88" s="31">
        <v>10</v>
      </c>
      <c r="T88" s="14" t="s">
        <v>303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</row>
    <row r="89" spans="1:28" ht="29.1" customHeight="1" x14ac:dyDescent="0.3">
      <c r="A89" s="5" t="s">
        <v>621</v>
      </c>
      <c r="B89" s="5" t="s">
        <v>823</v>
      </c>
      <c r="C89" s="5" t="s">
        <v>823</v>
      </c>
      <c r="D89" s="5" t="s">
        <v>823</v>
      </c>
      <c r="E89" s="28">
        <v>0</v>
      </c>
      <c r="F89" s="28">
        <f>TRUNC(SUMIF(R88:R88, " ", F88:F88),0)</f>
        <v>0</v>
      </c>
      <c r="G89" s="28">
        <v>0</v>
      </c>
      <c r="H89" s="28">
        <f>TRUNC(SUMIF(R88:R88, " ", H88:H88),0)</f>
        <v>8551</v>
      </c>
      <c r="I89" s="28">
        <v>0</v>
      </c>
      <c r="J89" s="27">
        <f>TRUNC(SUMIF(R88:R88, " ", J88:J88),0)</f>
        <v>0</v>
      </c>
      <c r="K89" s="20" t="s">
        <v>823</v>
      </c>
      <c r="L89" s="28">
        <f>F89+H89+J89</f>
        <v>8551</v>
      </c>
      <c r="M89" s="29"/>
      <c r="N89" s="24" t="s">
        <v>747</v>
      </c>
      <c r="O89" s="4" t="s">
        <v>747</v>
      </c>
    </row>
    <row r="90" spans="1:28" ht="29.1" customHeight="1" x14ac:dyDescent="0.3">
      <c r="A90" s="5" t="s">
        <v>823</v>
      </c>
      <c r="B90" s="5" t="s">
        <v>823</v>
      </c>
      <c r="C90" s="5" t="s">
        <v>823</v>
      </c>
      <c r="D90" s="5" t="s">
        <v>823</v>
      </c>
      <c r="E90" s="5" t="s">
        <v>823</v>
      </c>
      <c r="F90" s="5" t="s">
        <v>823</v>
      </c>
      <c r="G90" s="5" t="s">
        <v>823</v>
      </c>
      <c r="H90" s="5" t="s">
        <v>823</v>
      </c>
      <c r="I90" s="5" t="s">
        <v>823</v>
      </c>
      <c r="J90" s="5" t="s">
        <v>823</v>
      </c>
      <c r="K90" s="5" t="s">
        <v>823</v>
      </c>
      <c r="L90" s="5" t="s">
        <v>823</v>
      </c>
      <c r="M90" s="5" t="s">
        <v>823</v>
      </c>
    </row>
    <row r="91" spans="1:28" ht="29.1" customHeight="1" x14ac:dyDescent="0.3">
      <c r="A91" s="48" t="s">
        <v>1173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7" t="s">
        <v>335</v>
      </c>
    </row>
    <row r="92" spans="1:28" ht="29.1" customHeight="1" x14ac:dyDescent="0.3">
      <c r="A92" s="5" t="s">
        <v>1250</v>
      </c>
      <c r="B92" s="29" t="s">
        <v>269</v>
      </c>
      <c r="C92" s="5" t="s">
        <v>656</v>
      </c>
      <c r="D92" s="10">
        <v>2</v>
      </c>
      <c r="E92" s="28">
        <f>단가대비표!U81</f>
        <v>0</v>
      </c>
      <c r="F92" s="27">
        <f>TRUNC(D92*E92,2)</f>
        <v>0</v>
      </c>
      <c r="G92" s="28">
        <f>단가대비표!V81</f>
        <v>171037</v>
      </c>
      <c r="H92" s="27">
        <f>TRUNC(D92*G92,2)</f>
        <v>342074</v>
      </c>
      <c r="I92" s="28">
        <f>단가대비표!AE81</f>
        <v>0</v>
      </c>
      <c r="J92" s="27">
        <f>TRUNC(D92*I92,2)</f>
        <v>0</v>
      </c>
      <c r="K92" s="27">
        <f>E92+G92+I92</f>
        <v>171037</v>
      </c>
      <c r="L92" s="27">
        <f>F92+H92+J92</f>
        <v>342074</v>
      </c>
      <c r="M92" s="29" t="s">
        <v>162</v>
      </c>
      <c r="N92" s="7" t="s">
        <v>335</v>
      </c>
      <c r="O92" s="14" t="s">
        <v>40</v>
      </c>
      <c r="P92" s="14" t="s">
        <v>823</v>
      </c>
      <c r="Q92" s="14" t="s">
        <v>823</v>
      </c>
      <c r="R92" s="14" t="s">
        <v>228</v>
      </c>
      <c r="S92" s="31">
        <v>20</v>
      </c>
      <c r="T92" s="14" t="s">
        <v>57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</row>
    <row r="93" spans="1:28" ht="29.1" customHeight="1" x14ac:dyDescent="0.3">
      <c r="A93" s="5" t="s">
        <v>621</v>
      </c>
      <c r="B93" s="5" t="s">
        <v>823</v>
      </c>
      <c r="C93" s="5" t="s">
        <v>823</v>
      </c>
      <c r="D93" s="5" t="s">
        <v>823</v>
      </c>
      <c r="E93" s="28">
        <v>0</v>
      </c>
      <c r="F93" s="28">
        <f>TRUNC(SUMIF(R92:R92, " ", F92:F92),0)</f>
        <v>0</v>
      </c>
      <c r="G93" s="28">
        <v>0</v>
      </c>
      <c r="H93" s="28">
        <f>TRUNC(SUMIF(R92:R92, " ", H92:H92),0)</f>
        <v>342074</v>
      </c>
      <c r="I93" s="28">
        <v>0</v>
      </c>
      <c r="J93" s="27">
        <f>TRUNC(SUMIF(R92:R92, " ", J92:J92),0)</f>
        <v>0</v>
      </c>
      <c r="K93" s="20" t="s">
        <v>823</v>
      </c>
      <c r="L93" s="28">
        <f>F93+H93+J93</f>
        <v>342074</v>
      </c>
      <c r="M93" s="29"/>
      <c r="N93" s="24" t="s">
        <v>747</v>
      </c>
      <c r="O93" s="4" t="s">
        <v>747</v>
      </c>
    </row>
    <row r="94" spans="1:28" ht="29.1" customHeight="1" x14ac:dyDescent="0.3">
      <c r="A94" s="5" t="s">
        <v>823</v>
      </c>
      <c r="B94" s="5" t="s">
        <v>823</v>
      </c>
      <c r="C94" s="5" t="s">
        <v>823</v>
      </c>
      <c r="D94" s="5" t="s">
        <v>823</v>
      </c>
      <c r="E94" s="5" t="s">
        <v>823</v>
      </c>
      <c r="F94" s="5" t="s">
        <v>823</v>
      </c>
      <c r="G94" s="5" t="s">
        <v>823</v>
      </c>
      <c r="H94" s="5" t="s">
        <v>823</v>
      </c>
      <c r="I94" s="5" t="s">
        <v>823</v>
      </c>
      <c r="J94" s="5" t="s">
        <v>823</v>
      </c>
      <c r="K94" s="5" t="s">
        <v>823</v>
      </c>
      <c r="L94" s="5" t="s">
        <v>823</v>
      </c>
      <c r="M94" s="5" t="s">
        <v>823</v>
      </c>
    </row>
    <row r="95" spans="1:28" ht="29.1" customHeight="1" x14ac:dyDescent="0.3">
      <c r="A95" s="48" t="s">
        <v>480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7" t="s">
        <v>1239</v>
      </c>
    </row>
    <row r="96" spans="1:28" ht="29.1" customHeight="1" x14ac:dyDescent="0.3">
      <c r="A96" s="5" t="s">
        <v>1178</v>
      </c>
      <c r="B96" s="29" t="s">
        <v>527</v>
      </c>
      <c r="C96" s="5" t="s">
        <v>835</v>
      </c>
      <c r="D96" s="10">
        <v>1.1000000000000001</v>
      </c>
      <c r="E96" s="28">
        <f>단가대비표!U17</f>
        <v>27000</v>
      </c>
      <c r="F96" s="27">
        <f>TRUNC(D96*E96,2)</f>
        <v>29700</v>
      </c>
      <c r="G96" s="28">
        <f>단가대비표!V17</f>
        <v>0</v>
      </c>
      <c r="H96" s="27">
        <f>TRUNC(D96*G96,2)</f>
        <v>0</v>
      </c>
      <c r="I96" s="28">
        <f>단가대비표!AE17</f>
        <v>0</v>
      </c>
      <c r="J96" s="27">
        <f>TRUNC(D96*I96,2)</f>
        <v>0</v>
      </c>
      <c r="K96" s="27">
        <f t="shared" ref="K96:L98" si="20">E96+G96+I96</f>
        <v>27000</v>
      </c>
      <c r="L96" s="27">
        <f t="shared" si="20"/>
        <v>29700</v>
      </c>
      <c r="M96" s="29" t="s">
        <v>493</v>
      </c>
      <c r="N96" s="7" t="s">
        <v>1239</v>
      </c>
      <c r="O96" s="14" t="s">
        <v>11</v>
      </c>
      <c r="P96" s="14" t="s">
        <v>823</v>
      </c>
      <c r="Q96" s="14" t="s">
        <v>823</v>
      </c>
      <c r="R96" s="14" t="s">
        <v>228</v>
      </c>
      <c r="S96" s="31">
        <v>10</v>
      </c>
      <c r="T96" s="14" t="s">
        <v>798</v>
      </c>
      <c r="U96" s="31">
        <v>0</v>
      </c>
      <c r="V96" s="31">
        <v>1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</row>
    <row r="97" spans="1:28" ht="29.1" customHeight="1" x14ac:dyDescent="0.3">
      <c r="A97" s="5" t="s">
        <v>468</v>
      </c>
      <c r="B97" s="29" t="s">
        <v>508</v>
      </c>
      <c r="C97" s="5" t="s">
        <v>136</v>
      </c>
      <c r="D97" s="10">
        <v>1</v>
      </c>
      <c r="E97" s="27">
        <f>TRUNC(SUMIF(V96:V98, RIGHTB(O97, 1), F96:F98)*U97, 2)</f>
        <v>1485</v>
      </c>
      <c r="F97" s="27">
        <f>TRUNC(D97*E97,2)</f>
        <v>1485</v>
      </c>
      <c r="G97" s="27">
        <v>0</v>
      </c>
      <c r="H97" s="27">
        <f>TRUNC(D97*G97,2)</f>
        <v>0</v>
      </c>
      <c r="I97" s="27">
        <v>0</v>
      </c>
      <c r="J97" s="27">
        <f>TRUNC(D97*I97,2)</f>
        <v>0</v>
      </c>
      <c r="K97" s="27">
        <f t="shared" si="20"/>
        <v>1485</v>
      </c>
      <c r="L97" s="27">
        <f t="shared" si="20"/>
        <v>1485</v>
      </c>
      <c r="M97" s="29"/>
      <c r="N97" s="7" t="s">
        <v>1239</v>
      </c>
      <c r="O97" s="14" t="s">
        <v>572</v>
      </c>
      <c r="P97" s="14" t="s">
        <v>823</v>
      </c>
      <c r="Q97" s="14" t="s">
        <v>823</v>
      </c>
      <c r="R97" s="14" t="s">
        <v>228</v>
      </c>
      <c r="S97" s="31">
        <v>20</v>
      </c>
      <c r="T97" s="14" t="s">
        <v>893</v>
      </c>
      <c r="U97" s="31">
        <v>0.05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</row>
    <row r="98" spans="1:28" ht="29.1" customHeight="1" x14ac:dyDescent="0.3">
      <c r="A98" s="5" t="s">
        <v>549</v>
      </c>
      <c r="B98" s="29" t="s">
        <v>917</v>
      </c>
      <c r="C98" s="5" t="s">
        <v>1004</v>
      </c>
      <c r="D98" s="10">
        <v>1</v>
      </c>
      <c r="E98" s="28">
        <f>일위대가목록!E56</f>
        <v>681</v>
      </c>
      <c r="F98" s="27">
        <f>TRUNC(D98*E98,2)</f>
        <v>681</v>
      </c>
      <c r="G98" s="28">
        <f>일위대가목록!F56</f>
        <v>34074</v>
      </c>
      <c r="H98" s="27">
        <f>TRUNC(D98*G98,2)</f>
        <v>34074</v>
      </c>
      <c r="I98" s="28">
        <f>일위대가목록!G56</f>
        <v>0</v>
      </c>
      <c r="J98" s="27">
        <f>TRUNC(D98*I98,2)</f>
        <v>0</v>
      </c>
      <c r="K98" s="27">
        <f t="shared" si="20"/>
        <v>34755</v>
      </c>
      <c r="L98" s="27">
        <f t="shared" si="20"/>
        <v>34755</v>
      </c>
      <c r="M98" s="29" t="s">
        <v>343</v>
      </c>
      <c r="N98" s="7" t="s">
        <v>1239</v>
      </c>
      <c r="O98" s="14" t="s">
        <v>1194</v>
      </c>
      <c r="P98" s="14" t="s">
        <v>823</v>
      </c>
      <c r="Q98" s="14" t="s">
        <v>823</v>
      </c>
      <c r="R98" s="14" t="s">
        <v>228</v>
      </c>
      <c r="S98" s="31">
        <v>30</v>
      </c>
      <c r="T98" s="14" t="s">
        <v>997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</row>
    <row r="99" spans="1:28" ht="29.1" customHeight="1" x14ac:dyDescent="0.3">
      <c r="A99" s="5" t="s">
        <v>621</v>
      </c>
      <c r="B99" s="5" t="s">
        <v>823</v>
      </c>
      <c r="C99" s="5" t="s">
        <v>823</v>
      </c>
      <c r="D99" s="5" t="s">
        <v>823</v>
      </c>
      <c r="E99" s="28">
        <v>0</v>
      </c>
      <c r="F99" s="28">
        <f>TRUNC(SUMIF(R96:R98, " ", F96:F98),0)</f>
        <v>31866</v>
      </c>
      <c r="G99" s="28">
        <v>0</v>
      </c>
      <c r="H99" s="28">
        <f>TRUNC(SUMIF(R96:R98, " ", H96:H98),0)</f>
        <v>34074</v>
      </c>
      <c r="I99" s="28">
        <v>0</v>
      </c>
      <c r="J99" s="27">
        <f>TRUNC(SUMIF(R96:R98, " ", J96:J98),0)</f>
        <v>0</v>
      </c>
      <c r="K99" s="20" t="s">
        <v>823</v>
      </c>
      <c r="L99" s="28">
        <f>F99+H99+J99</f>
        <v>65940</v>
      </c>
      <c r="M99" s="29"/>
      <c r="N99" s="24" t="s">
        <v>747</v>
      </c>
      <c r="O99" s="4" t="s">
        <v>747</v>
      </c>
    </row>
    <row r="100" spans="1:28" ht="29.1" customHeight="1" x14ac:dyDescent="0.3">
      <c r="A100" s="5" t="s">
        <v>823</v>
      </c>
      <c r="B100" s="5" t="s">
        <v>823</v>
      </c>
      <c r="C100" s="5" t="s">
        <v>823</v>
      </c>
      <c r="D100" s="5" t="s">
        <v>823</v>
      </c>
      <c r="E100" s="5" t="s">
        <v>823</v>
      </c>
      <c r="F100" s="5" t="s">
        <v>823</v>
      </c>
      <c r="G100" s="5" t="s">
        <v>823</v>
      </c>
      <c r="H100" s="5" t="s">
        <v>823</v>
      </c>
      <c r="I100" s="5" t="s">
        <v>823</v>
      </c>
      <c r="J100" s="5" t="s">
        <v>823</v>
      </c>
      <c r="K100" s="5" t="s">
        <v>823</v>
      </c>
      <c r="L100" s="5" t="s">
        <v>823</v>
      </c>
      <c r="M100" s="5" t="s">
        <v>823</v>
      </c>
    </row>
    <row r="101" spans="1:28" ht="29.1" customHeight="1" x14ac:dyDescent="0.3">
      <c r="A101" s="48" t="s">
        <v>198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7" t="s">
        <v>306</v>
      </c>
    </row>
    <row r="102" spans="1:28" ht="29.1" customHeight="1" x14ac:dyDescent="0.3">
      <c r="A102" s="5" t="s">
        <v>149</v>
      </c>
      <c r="B102" s="29" t="s">
        <v>269</v>
      </c>
      <c r="C102" s="5" t="s">
        <v>656</v>
      </c>
      <c r="D102" s="10">
        <v>0.66</v>
      </c>
      <c r="E102" s="28">
        <f>단가대비표!U85</f>
        <v>0</v>
      </c>
      <c r="F102" s="27">
        <f>TRUNC(D102*E102,2)</f>
        <v>0</v>
      </c>
      <c r="G102" s="28">
        <f>단가대비표!V85</f>
        <v>251511</v>
      </c>
      <c r="H102" s="27">
        <f>TRUNC(D102*G102,2)</f>
        <v>165997.26</v>
      </c>
      <c r="I102" s="28">
        <f>단가대비표!AE85</f>
        <v>0</v>
      </c>
      <c r="J102" s="27">
        <f>TRUNC(D102*I102,2)</f>
        <v>0</v>
      </c>
      <c r="K102" s="27">
        <f t="shared" ref="K102:L104" si="21">E102+G102+I102</f>
        <v>251511</v>
      </c>
      <c r="L102" s="27">
        <f t="shared" si="21"/>
        <v>165997.26</v>
      </c>
      <c r="M102" s="29" t="s">
        <v>1128</v>
      </c>
      <c r="N102" s="7" t="s">
        <v>306</v>
      </c>
      <c r="O102" s="14" t="s">
        <v>829</v>
      </c>
      <c r="P102" s="14" t="s">
        <v>823</v>
      </c>
      <c r="Q102" s="14" t="s">
        <v>823</v>
      </c>
      <c r="R102" s="14" t="s">
        <v>228</v>
      </c>
      <c r="S102" s="31">
        <v>10</v>
      </c>
      <c r="T102" s="14" t="s">
        <v>823</v>
      </c>
      <c r="U102" s="31">
        <v>0</v>
      </c>
      <c r="V102" s="31">
        <v>1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</row>
    <row r="103" spans="1:28" ht="29.1" customHeight="1" x14ac:dyDescent="0.3">
      <c r="A103" s="5" t="s">
        <v>526</v>
      </c>
      <c r="B103" s="29" t="s">
        <v>269</v>
      </c>
      <c r="C103" s="5" t="s">
        <v>656</v>
      </c>
      <c r="D103" s="10">
        <v>0.18</v>
      </c>
      <c r="E103" s="28">
        <f>단가대비표!U82</f>
        <v>0</v>
      </c>
      <c r="F103" s="27">
        <f>TRUNC(D103*E103,2)</f>
        <v>0</v>
      </c>
      <c r="G103" s="28">
        <f>단가대비표!V82</f>
        <v>224490</v>
      </c>
      <c r="H103" s="27">
        <f>TRUNC(D103*G103,2)</f>
        <v>40408.199999999997</v>
      </c>
      <c r="I103" s="28">
        <f>단가대비표!AE82</f>
        <v>0</v>
      </c>
      <c r="J103" s="27">
        <f>TRUNC(D103*I103,2)</f>
        <v>0</v>
      </c>
      <c r="K103" s="27">
        <f t="shared" si="21"/>
        <v>224490</v>
      </c>
      <c r="L103" s="27">
        <f t="shared" si="21"/>
        <v>40408.199999999997</v>
      </c>
      <c r="M103" s="29" t="s">
        <v>758</v>
      </c>
      <c r="N103" s="7" t="s">
        <v>306</v>
      </c>
      <c r="O103" s="14" t="s">
        <v>1315</v>
      </c>
      <c r="P103" s="14" t="s">
        <v>823</v>
      </c>
      <c r="Q103" s="14" t="s">
        <v>823</v>
      </c>
      <c r="R103" s="14" t="s">
        <v>228</v>
      </c>
      <c r="S103" s="31">
        <v>20</v>
      </c>
      <c r="T103" s="14" t="s">
        <v>823</v>
      </c>
      <c r="U103" s="31">
        <v>0</v>
      </c>
      <c r="V103" s="31">
        <v>1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</row>
    <row r="104" spans="1:28" ht="29.1" customHeight="1" x14ac:dyDescent="0.3">
      <c r="A104" s="5" t="s">
        <v>1195</v>
      </c>
      <c r="B104" s="29" t="s">
        <v>361</v>
      </c>
      <c r="C104" s="5" t="s">
        <v>136</v>
      </c>
      <c r="D104" s="10">
        <v>1</v>
      </c>
      <c r="E104" s="27">
        <f>TRUNC(SUMIF(V102:V104, RIGHTB(O104, 1), H102:H104)*U104, 2)</f>
        <v>6192.16</v>
      </c>
      <c r="F104" s="27">
        <f>TRUNC(D104*E104,2)</f>
        <v>6192.16</v>
      </c>
      <c r="G104" s="27">
        <v>0</v>
      </c>
      <c r="H104" s="27">
        <f>TRUNC(D104*G104,2)</f>
        <v>0</v>
      </c>
      <c r="I104" s="27">
        <v>0</v>
      </c>
      <c r="J104" s="27">
        <f>TRUNC(D104*I104,2)</f>
        <v>0</v>
      </c>
      <c r="K104" s="27">
        <f t="shared" si="21"/>
        <v>6192.16</v>
      </c>
      <c r="L104" s="27">
        <f t="shared" si="21"/>
        <v>6192.16</v>
      </c>
      <c r="M104" s="29"/>
      <c r="N104" s="7" t="s">
        <v>306</v>
      </c>
      <c r="O104" s="14" t="s">
        <v>572</v>
      </c>
      <c r="P104" s="14" t="s">
        <v>823</v>
      </c>
      <c r="Q104" s="14" t="s">
        <v>823</v>
      </c>
      <c r="R104" s="14" t="s">
        <v>228</v>
      </c>
      <c r="S104" s="31">
        <v>30</v>
      </c>
      <c r="T104" s="14" t="s">
        <v>457</v>
      </c>
      <c r="U104" s="31">
        <v>0.03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</row>
    <row r="105" spans="1:28" ht="29.1" customHeight="1" x14ac:dyDescent="0.3">
      <c r="A105" s="5" t="s">
        <v>621</v>
      </c>
      <c r="B105" s="5" t="s">
        <v>823</v>
      </c>
      <c r="C105" s="5" t="s">
        <v>823</v>
      </c>
      <c r="D105" s="5" t="s">
        <v>823</v>
      </c>
      <c r="E105" s="28">
        <v>0</v>
      </c>
      <c r="F105" s="28">
        <f>TRUNC(SUMIF(R102:R104, " ", F102:F104),0)</f>
        <v>6192</v>
      </c>
      <c r="G105" s="28">
        <v>0</v>
      </c>
      <c r="H105" s="28">
        <f>TRUNC(SUMIF(R102:R104, " ", H102:H104),0)</f>
        <v>206405</v>
      </c>
      <c r="I105" s="28">
        <v>0</v>
      </c>
      <c r="J105" s="27">
        <f>TRUNC(SUMIF(R102:R104, " ", J102:J104),0)</f>
        <v>0</v>
      </c>
      <c r="K105" s="20" t="s">
        <v>823</v>
      </c>
      <c r="L105" s="28">
        <f>F105+H105+J105</f>
        <v>212597</v>
      </c>
      <c r="M105" s="29"/>
      <c r="N105" s="24" t="s">
        <v>747</v>
      </c>
      <c r="O105" s="4" t="s">
        <v>747</v>
      </c>
    </row>
    <row r="106" spans="1:28" ht="29.1" customHeight="1" x14ac:dyDescent="0.3">
      <c r="A106" s="5" t="s">
        <v>823</v>
      </c>
      <c r="B106" s="5" t="s">
        <v>823</v>
      </c>
      <c r="C106" s="5" t="s">
        <v>823</v>
      </c>
      <c r="D106" s="5" t="s">
        <v>823</v>
      </c>
      <c r="E106" s="5" t="s">
        <v>823</v>
      </c>
      <c r="F106" s="5" t="s">
        <v>823</v>
      </c>
      <c r="G106" s="5" t="s">
        <v>823</v>
      </c>
      <c r="H106" s="5" t="s">
        <v>823</v>
      </c>
      <c r="I106" s="5" t="s">
        <v>823</v>
      </c>
      <c r="J106" s="5" t="s">
        <v>823</v>
      </c>
      <c r="K106" s="5" t="s">
        <v>823</v>
      </c>
      <c r="L106" s="5" t="s">
        <v>823</v>
      </c>
      <c r="M106" s="5" t="s">
        <v>823</v>
      </c>
    </row>
    <row r="107" spans="1:28" ht="29.1" customHeight="1" x14ac:dyDescent="0.3">
      <c r="A107" s="48" t="s">
        <v>719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7" t="s">
        <v>796</v>
      </c>
    </row>
    <row r="108" spans="1:28" ht="29.1" customHeight="1" x14ac:dyDescent="0.3">
      <c r="A108" s="5" t="s">
        <v>1216</v>
      </c>
      <c r="B108" s="29" t="s">
        <v>152</v>
      </c>
      <c r="C108" s="5" t="s">
        <v>298</v>
      </c>
      <c r="D108" s="10">
        <v>0.53300000000000003</v>
      </c>
      <c r="E108" s="28">
        <f>일위대가목록!E61</f>
        <v>10446</v>
      </c>
      <c r="F108" s="27">
        <f>TRUNC(D108*E108,2)</f>
        <v>5567.71</v>
      </c>
      <c r="G108" s="28">
        <f>일위대가목록!F61</f>
        <v>58296</v>
      </c>
      <c r="H108" s="27">
        <f>TRUNC(D108*G108,2)</f>
        <v>31071.759999999998</v>
      </c>
      <c r="I108" s="28">
        <f>일위대가목록!G61</f>
        <v>52687</v>
      </c>
      <c r="J108" s="27">
        <f>TRUNC(D108*I108,2)</f>
        <v>28082.17</v>
      </c>
      <c r="K108" s="27">
        <f>E108+G108+I108</f>
        <v>121429</v>
      </c>
      <c r="L108" s="27">
        <f>F108+H108+J108</f>
        <v>64721.64</v>
      </c>
      <c r="M108" s="29" t="s">
        <v>851</v>
      </c>
      <c r="N108" s="7" t="s">
        <v>796</v>
      </c>
      <c r="O108" s="14" t="s">
        <v>87</v>
      </c>
      <c r="P108" s="14" t="s">
        <v>823</v>
      </c>
      <c r="Q108" s="14" t="s">
        <v>823</v>
      </c>
      <c r="R108" s="14" t="s">
        <v>228</v>
      </c>
      <c r="S108" s="31">
        <v>10</v>
      </c>
      <c r="T108" s="14" t="s">
        <v>823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</row>
    <row r="109" spans="1:28" ht="29.1" customHeight="1" x14ac:dyDescent="0.3">
      <c r="A109" s="5" t="s">
        <v>621</v>
      </c>
      <c r="B109" s="5" t="s">
        <v>823</v>
      </c>
      <c r="C109" s="5" t="s">
        <v>823</v>
      </c>
      <c r="D109" s="5" t="s">
        <v>823</v>
      </c>
      <c r="E109" s="28">
        <v>0</v>
      </c>
      <c r="F109" s="28">
        <f>TRUNC(SUMIF(R108:R108, " ", F108:F108),0)</f>
        <v>5567</v>
      </c>
      <c r="G109" s="28">
        <v>0</v>
      </c>
      <c r="H109" s="28">
        <f>TRUNC(SUMIF(R108:R108, " ", H108:H108),0)</f>
        <v>31071</v>
      </c>
      <c r="I109" s="28">
        <v>0</v>
      </c>
      <c r="J109" s="27">
        <f>TRUNC(SUMIF(R108:R108, " ", J108:J108),0)</f>
        <v>28082</v>
      </c>
      <c r="K109" s="20" t="s">
        <v>823</v>
      </c>
      <c r="L109" s="28">
        <f>F109+H109+J109</f>
        <v>64720</v>
      </c>
      <c r="M109" s="29"/>
      <c r="N109" s="24" t="s">
        <v>747</v>
      </c>
      <c r="O109" s="4" t="s">
        <v>747</v>
      </c>
    </row>
    <row r="110" spans="1:28" ht="29.1" customHeight="1" x14ac:dyDescent="0.3">
      <c r="A110" s="5" t="s">
        <v>823</v>
      </c>
      <c r="B110" s="5" t="s">
        <v>823</v>
      </c>
      <c r="C110" s="5" t="s">
        <v>823</v>
      </c>
      <c r="D110" s="5" t="s">
        <v>823</v>
      </c>
      <c r="E110" s="5" t="s">
        <v>823</v>
      </c>
      <c r="F110" s="5" t="s">
        <v>823</v>
      </c>
      <c r="G110" s="5" t="s">
        <v>823</v>
      </c>
      <c r="H110" s="5" t="s">
        <v>823</v>
      </c>
      <c r="I110" s="5" t="s">
        <v>823</v>
      </c>
      <c r="J110" s="5" t="s">
        <v>823</v>
      </c>
      <c r="K110" s="5" t="s">
        <v>823</v>
      </c>
      <c r="L110" s="5" t="s">
        <v>823</v>
      </c>
      <c r="M110" s="5" t="s">
        <v>823</v>
      </c>
    </row>
    <row r="111" spans="1:28" ht="29.1" customHeight="1" x14ac:dyDescent="0.3">
      <c r="A111" s="48" t="s">
        <v>846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7" t="s">
        <v>1135</v>
      </c>
    </row>
    <row r="112" spans="1:28" ht="29.1" customHeight="1" x14ac:dyDescent="0.3">
      <c r="A112" s="5" t="s">
        <v>450</v>
      </c>
      <c r="B112" s="29" t="s">
        <v>944</v>
      </c>
      <c r="C112" s="5" t="s">
        <v>1312</v>
      </c>
      <c r="D112" s="10">
        <v>1</v>
      </c>
      <c r="E112" s="28">
        <f>일위대가목록!E55</f>
        <v>12303</v>
      </c>
      <c r="F112" s="27">
        <f>TRUNC(D112*E112,2)</f>
        <v>12303</v>
      </c>
      <c r="G112" s="28">
        <f>일위대가목록!F55</f>
        <v>0</v>
      </c>
      <c r="H112" s="27">
        <f>TRUNC(D112*G112,2)</f>
        <v>0</v>
      </c>
      <c r="I112" s="28">
        <f>일위대가목록!G55</f>
        <v>0</v>
      </c>
      <c r="J112" s="27">
        <f>TRUNC(D112*I112,2)</f>
        <v>0</v>
      </c>
      <c r="K112" s="27">
        <f t="shared" ref="K112:L114" si="22">E112+G112+I112</f>
        <v>12303</v>
      </c>
      <c r="L112" s="27">
        <f t="shared" si="22"/>
        <v>12303</v>
      </c>
      <c r="M112" s="29" t="s">
        <v>259</v>
      </c>
      <c r="N112" s="7" t="s">
        <v>1135</v>
      </c>
      <c r="O112" s="14" t="s">
        <v>254</v>
      </c>
      <c r="P112" s="14" t="s">
        <v>823</v>
      </c>
      <c r="Q112" s="14" t="s">
        <v>823</v>
      </c>
      <c r="R112" s="14" t="s">
        <v>228</v>
      </c>
      <c r="S112" s="31">
        <v>10</v>
      </c>
      <c r="T112" s="14" t="s">
        <v>823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</row>
    <row r="113" spans="1:28" ht="29.1" customHeight="1" x14ac:dyDescent="0.3">
      <c r="A113" s="5" t="s">
        <v>149</v>
      </c>
      <c r="B113" s="29" t="s">
        <v>269</v>
      </c>
      <c r="C113" s="5" t="s">
        <v>656</v>
      </c>
      <c r="D113" s="10">
        <v>1.5407</v>
      </c>
      <c r="E113" s="28">
        <f>단가대비표!U85</f>
        <v>0</v>
      </c>
      <c r="F113" s="27">
        <f>TRUNC(D113*E113,2)</f>
        <v>0</v>
      </c>
      <c r="G113" s="28">
        <f>단가대비표!V85</f>
        <v>251511</v>
      </c>
      <c r="H113" s="27">
        <f>TRUNC(D113*G113,2)</f>
        <v>387502.99</v>
      </c>
      <c r="I113" s="28">
        <f>단가대비표!AE85</f>
        <v>0</v>
      </c>
      <c r="J113" s="27">
        <f>TRUNC(D113*I113,2)</f>
        <v>0</v>
      </c>
      <c r="K113" s="27">
        <f t="shared" si="22"/>
        <v>251511</v>
      </c>
      <c r="L113" s="27">
        <f t="shared" si="22"/>
        <v>387502.99</v>
      </c>
      <c r="M113" s="29" t="s">
        <v>1128</v>
      </c>
      <c r="N113" s="7" t="s">
        <v>1135</v>
      </c>
      <c r="O113" s="14" t="s">
        <v>829</v>
      </c>
      <c r="P113" s="14" t="s">
        <v>823</v>
      </c>
      <c r="Q113" s="14" t="s">
        <v>823</v>
      </c>
      <c r="R113" s="14" t="s">
        <v>228</v>
      </c>
      <c r="S113" s="31">
        <v>20</v>
      </c>
      <c r="T113" s="14" t="s">
        <v>823</v>
      </c>
      <c r="U113" s="31">
        <v>0</v>
      </c>
      <c r="V113" s="31">
        <v>1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</row>
    <row r="114" spans="1:28" ht="29.1" customHeight="1" x14ac:dyDescent="0.3">
      <c r="A114" s="5" t="s">
        <v>481</v>
      </c>
      <c r="B114" s="29" t="s">
        <v>391</v>
      </c>
      <c r="C114" s="5" t="s">
        <v>136</v>
      </c>
      <c r="D114" s="10">
        <v>1</v>
      </c>
      <c r="E114" s="27">
        <f>TRUNC(SUMIF(V112:V114, RIGHTB(O114, 1), H112:H114)*U114, 2)</f>
        <v>232501.79</v>
      </c>
      <c r="F114" s="27">
        <f>TRUNC(D114*E114,2)</f>
        <v>232501.79</v>
      </c>
      <c r="G114" s="27">
        <v>0</v>
      </c>
      <c r="H114" s="27">
        <f>TRUNC(D114*G114,2)</f>
        <v>0</v>
      </c>
      <c r="I114" s="27">
        <v>0</v>
      </c>
      <c r="J114" s="27">
        <f>TRUNC(D114*I114,2)</f>
        <v>0</v>
      </c>
      <c r="K114" s="27">
        <f t="shared" si="22"/>
        <v>232501.79</v>
      </c>
      <c r="L114" s="27">
        <f t="shared" si="22"/>
        <v>232501.79</v>
      </c>
      <c r="M114" s="29"/>
      <c r="N114" s="7" t="s">
        <v>1135</v>
      </c>
      <c r="O114" s="14" t="s">
        <v>572</v>
      </c>
      <c r="P114" s="14" t="s">
        <v>823</v>
      </c>
      <c r="Q114" s="14" t="s">
        <v>823</v>
      </c>
      <c r="R114" s="14" t="s">
        <v>228</v>
      </c>
      <c r="S114" s="31">
        <v>30</v>
      </c>
      <c r="T114" s="14" t="s">
        <v>777</v>
      </c>
      <c r="U114" s="31">
        <v>0.6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</row>
    <row r="115" spans="1:28" ht="29.1" customHeight="1" x14ac:dyDescent="0.3">
      <c r="A115" s="5" t="s">
        <v>621</v>
      </c>
      <c r="B115" s="5" t="s">
        <v>823</v>
      </c>
      <c r="C115" s="5" t="s">
        <v>823</v>
      </c>
      <c r="D115" s="5" t="s">
        <v>823</v>
      </c>
      <c r="E115" s="28">
        <v>0</v>
      </c>
      <c r="F115" s="28">
        <f>TRUNC(SUMIF(R112:R114, " ", F112:F114),0)</f>
        <v>244804</v>
      </c>
      <c r="G115" s="28">
        <v>0</v>
      </c>
      <c r="H115" s="28">
        <f>TRUNC(SUMIF(R112:R114, " ", H112:H114),0)</f>
        <v>387502</v>
      </c>
      <c r="I115" s="28">
        <v>0</v>
      </c>
      <c r="J115" s="27">
        <f>TRUNC(SUMIF(R112:R114, " ", J112:J114),0)</f>
        <v>0</v>
      </c>
      <c r="K115" s="20" t="s">
        <v>823</v>
      </c>
      <c r="L115" s="28">
        <f>F115+H115+J115</f>
        <v>632306</v>
      </c>
      <c r="M115" s="29"/>
      <c r="N115" s="24" t="s">
        <v>747</v>
      </c>
      <c r="O115" s="4" t="s">
        <v>747</v>
      </c>
    </row>
    <row r="116" spans="1:28" ht="29.1" customHeight="1" x14ac:dyDescent="0.3">
      <c r="A116" s="5" t="s">
        <v>823</v>
      </c>
      <c r="B116" s="5" t="s">
        <v>823</v>
      </c>
      <c r="C116" s="5" t="s">
        <v>823</v>
      </c>
      <c r="D116" s="5" t="s">
        <v>823</v>
      </c>
      <c r="E116" s="5" t="s">
        <v>823</v>
      </c>
      <c r="F116" s="5" t="s">
        <v>823</v>
      </c>
      <c r="G116" s="5" t="s">
        <v>823</v>
      </c>
      <c r="H116" s="5" t="s">
        <v>823</v>
      </c>
      <c r="I116" s="5" t="s">
        <v>823</v>
      </c>
      <c r="J116" s="5" t="s">
        <v>823</v>
      </c>
      <c r="K116" s="5" t="s">
        <v>823</v>
      </c>
      <c r="L116" s="5" t="s">
        <v>823</v>
      </c>
      <c r="M116" s="5" t="s">
        <v>823</v>
      </c>
    </row>
    <row r="117" spans="1:28" ht="29.1" customHeight="1" x14ac:dyDescent="0.3">
      <c r="A117" s="48" t="s">
        <v>760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7" t="s">
        <v>473</v>
      </c>
    </row>
    <row r="118" spans="1:28" ht="29.1" customHeight="1" x14ac:dyDescent="0.3">
      <c r="A118" s="5" t="s">
        <v>149</v>
      </c>
      <c r="B118" s="29" t="s">
        <v>269</v>
      </c>
      <c r="C118" s="5" t="s">
        <v>656</v>
      </c>
      <c r="D118" s="10">
        <v>0.33</v>
      </c>
      <c r="E118" s="28">
        <f>단가대비표!U85</f>
        <v>0</v>
      </c>
      <c r="F118" s="27">
        <f>TRUNC(D118*E118,2)</f>
        <v>0</v>
      </c>
      <c r="G118" s="28">
        <f>단가대비표!V85</f>
        <v>251511</v>
      </c>
      <c r="H118" s="27">
        <f>TRUNC(D118*G118,2)</f>
        <v>82998.63</v>
      </c>
      <c r="I118" s="28">
        <f>단가대비표!AE85</f>
        <v>0</v>
      </c>
      <c r="J118" s="27">
        <f>TRUNC(D118*I118,2)</f>
        <v>0</v>
      </c>
      <c r="K118" s="27">
        <f t="shared" ref="K118:L120" si="23">E118+G118+I118</f>
        <v>251511</v>
      </c>
      <c r="L118" s="27">
        <f t="shared" si="23"/>
        <v>82998.63</v>
      </c>
      <c r="M118" s="29" t="s">
        <v>1128</v>
      </c>
      <c r="N118" s="7" t="s">
        <v>473</v>
      </c>
      <c r="O118" s="14" t="s">
        <v>829</v>
      </c>
      <c r="P118" s="14" t="s">
        <v>823</v>
      </c>
      <c r="Q118" s="14" t="s">
        <v>823</v>
      </c>
      <c r="R118" s="14" t="s">
        <v>228</v>
      </c>
      <c r="S118" s="31">
        <v>10</v>
      </c>
      <c r="T118" s="14" t="s">
        <v>45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</row>
    <row r="119" spans="1:28" ht="29.1" customHeight="1" x14ac:dyDescent="0.3">
      <c r="A119" s="5" t="s">
        <v>432</v>
      </c>
      <c r="B119" s="29" t="s">
        <v>269</v>
      </c>
      <c r="C119" s="5" t="s">
        <v>656</v>
      </c>
      <c r="D119" s="10">
        <v>0.14000000000000001</v>
      </c>
      <c r="E119" s="28">
        <f>단가대비표!U83</f>
        <v>0</v>
      </c>
      <c r="F119" s="27">
        <f>TRUNC(D119*E119,2)</f>
        <v>0</v>
      </c>
      <c r="G119" s="28">
        <f>단가대비표!V83</f>
        <v>279613</v>
      </c>
      <c r="H119" s="27">
        <f>TRUNC(D119*G119,2)</f>
        <v>39145.82</v>
      </c>
      <c r="I119" s="28">
        <f>단가대비표!AE83</f>
        <v>0</v>
      </c>
      <c r="J119" s="27">
        <f>TRUNC(D119*I119,2)</f>
        <v>0</v>
      </c>
      <c r="K119" s="27">
        <f t="shared" si="23"/>
        <v>279613</v>
      </c>
      <c r="L119" s="27">
        <f t="shared" si="23"/>
        <v>39145.82</v>
      </c>
      <c r="M119" s="29" t="s">
        <v>1044</v>
      </c>
      <c r="N119" s="7" t="s">
        <v>473</v>
      </c>
      <c r="O119" s="14" t="s">
        <v>687</v>
      </c>
      <c r="P119" s="14" t="s">
        <v>823</v>
      </c>
      <c r="Q119" s="14" t="s">
        <v>823</v>
      </c>
      <c r="R119" s="14" t="s">
        <v>228</v>
      </c>
      <c r="S119" s="31">
        <v>20</v>
      </c>
      <c r="T119" s="14" t="s">
        <v>1078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</row>
    <row r="120" spans="1:28" ht="29.1" customHeight="1" x14ac:dyDescent="0.3">
      <c r="A120" s="5" t="s">
        <v>526</v>
      </c>
      <c r="B120" s="29" t="s">
        <v>269</v>
      </c>
      <c r="C120" s="5" t="s">
        <v>656</v>
      </c>
      <c r="D120" s="10">
        <v>7.0000000000000007E-2</v>
      </c>
      <c r="E120" s="28">
        <f>단가대비표!U82</f>
        <v>0</v>
      </c>
      <c r="F120" s="27">
        <f>TRUNC(D120*E120,2)</f>
        <v>0</v>
      </c>
      <c r="G120" s="28">
        <f>단가대비표!V82</f>
        <v>224490</v>
      </c>
      <c r="H120" s="27">
        <f>TRUNC(D120*G120,2)</f>
        <v>15714.3</v>
      </c>
      <c r="I120" s="28">
        <f>단가대비표!AE82</f>
        <v>0</v>
      </c>
      <c r="J120" s="27">
        <f>TRUNC(D120*I120,2)</f>
        <v>0</v>
      </c>
      <c r="K120" s="27">
        <f t="shared" si="23"/>
        <v>224490</v>
      </c>
      <c r="L120" s="27">
        <f t="shared" si="23"/>
        <v>15714.3</v>
      </c>
      <c r="M120" s="29" t="s">
        <v>758</v>
      </c>
      <c r="N120" s="7" t="s">
        <v>473</v>
      </c>
      <c r="O120" s="14" t="s">
        <v>1315</v>
      </c>
      <c r="P120" s="14" t="s">
        <v>823</v>
      </c>
      <c r="Q120" s="14" t="s">
        <v>823</v>
      </c>
      <c r="R120" s="14" t="s">
        <v>228</v>
      </c>
      <c r="S120" s="31">
        <v>30</v>
      </c>
      <c r="T120" s="14" t="s">
        <v>820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</row>
    <row r="121" spans="1:28" ht="29.1" customHeight="1" x14ac:dyDescent="0.3">
      <c r="A121" s="5" t="s">
        <v>621</v>
      </c>
      <c r="B121" s="5" t="s">
        <v>823</v>
      </c>
      <c r="C121" s="5" t="s">
        <v>823</v>
      </c>
      <c r="D121" s="5" t="s">
        <v>823</v>
      </c>
      <c r="E121" s="28">
        <v>0</v>
      </c>
      <c r="F121" s="28">
        <f>TRUNC(SUMIF(R118:R120, " ", F118:F120),0)</f>
        <v>0</v>
      </c>
      <c r="G121" s="28">
        <v>0</v>
      </c>
      <c r="H121" s="28">
        <f>TRUNC(SUMIF(R118:R120, " ", H118:H120),0)</f>
        <v>137858</v>
      </c>
      <c r="I121" s="28">
        <v>0</v>
      </c>
      <c r="J121" s="27">
        <f>TRUNC(SUMIF(R118:R120, " ", J118:J120),0)</f>
        <v>0</v>
      </c>
      <c r="K121" s="20" t="s">
        <v>823</v>
      </c>
      <c r="L121" s="28">
        <f>F121+H121+J121</f>
        <v>137858</v>
      </c>
      <c r="M121" s="29"/>
      <c r="N121" s="24" t="s">
        <v>747</v>
      </c>
      <c r="O121" s="4" t="s">
        <v>747</v>
      </c>
    </row>
    <row r="122" spans="1:28" ht="29.1" customHeight="1" x14ac:dyDescent="0.3">
      <c r="A122" s="5" t="s">
        <v>823</v>
      </c>
      <c r="B122" s="5" t="s">
        <v>823</v>
      </c>
      <c r="C122" s="5" t="s">
        <v>823</v>
      </c>
      <c r="D122" s="5" t="s">
        <v>823</v>
      </c>
      <c r="E122" s="5" t="s">
        <v>823</v>
      </c>
      <c r="F122" s="5" t="s">
        <v>823</v>
      </c>
      <c r="G122" s="5" t="s">
        <v>823</v>
      </c>
      <c r="H122" s="5" t="s">
        <v>823</v>
      </c>
      <c r="I122" s="5" t="s">
        <v>823</v>
      </c>
      <c r="J122" s="5" t="s">
        <v>823</v>
      </c>
      <c r="K122" s="5" t="s">
        <v>823</v>
      </c>
      <c r="L122" s="5" t="s">
        <v>823</v>
      </c>
      <c r="M122" s="5" t="s">
        <v>823</v>
      </c>
    </row>
    <row r="123" spans="1:28" ht="29.1" customHeight="1" x14ac:dyDescent="0.3">
      <c r="A123" s="48" t="s">
        <v>915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7" t="s">
        <v>71</v>
      </c>
    </row>
    <row r="124" spans="1:28" ht="29.1" customHeight="1" x14ac:dyDescent="0.3">
      <c r="A124" s="5" t="s">
        <v>149</v>
      </c>
      <c r="B124" s="29" t="s">
        <v>269</v>
      </c>
      <c r="C124" s="5" t="s">
        <v>656</v>
      </c>
      <c r="D124" s="10">
        <v>1.67</v>
      </c>
      <c r="E124" s="28">
        <f>단가대비표!U85</f>
        <v>0</v>
      </c>
      <c r="F124" s="27">
        <f>TRUNC(D124*E124,2)</f>
        <v>0</v>
      </c>
      <c r="G124" s="28">
        <f>단가대비표!V85</f>
        <v>251511</v>
      </c>
      <c r="H124" s="27">
        <f>TRUNC(D124*G124,2)</f>
        <v>420023.37</v>
      </c>
      <c r="I124" s="28">
        <f>단가대비표!AE85</f>
        <v>0</v>
      </c>
      <c r="J124" s="27">
        <f>TRUNC(D124*I124,2)</f>
        <v>0</v>
      </c>
      <c r="K124" s="27">
        <f t="shared" ref="K124:L126" si="24">E124+G124+I124</f>
        <v>251511</v>
      </c>
      <c r="L124" s="27">
        <f t="shared" si="24"/>
        <v>420023.37</v>
      </c>
      <c r="M124" s="29" t="s">
        <v>1128</v>
      </c>
      <c r="N124" s="7" t="s">
        <v>71</v>
      </c>
      <c r="O124" s="14" t="s">
        <v>829</v>
      </c>
      <c r="P124" s="14" t="s">
        <v>823</v>
      </c>
      <c r="Q124" s="14" t="s">
        <v>823</v>
      </c>
      <c r="R124" s="14" t="s">
        <v>228</v>
      </c>
      <c r="S124" s="31">
        <v>10</v>
      </c>
      <c r="T124" s="14" t="s">
        <v>823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</row>
    <row r="125" spans="1:28" ht="29.1" customHeight="1" x14ac:dyDescent="0.3">
      <c r="A125" s="5" t="s">
        <v>526</v>
      </c>
      <c r="B125" s="29" t="s">
        <v>269</v>
      </c>
      <c r="C125" s="5" t="s">
        <v>656</v>
      </c>
      <c r="D125" s="10">
        <v>0.42</v>
      </c>
      <c r="E125" s="28">
        <f>단가대비표!U82</f>
        <v>0</v>
      </c>
      <c r="F125" s="27">
        <f>TRUNC(D125*E125,2)</f>
        <v>0</v>
      </c>
      <c r="G125" s="28">
        <f>단가대비표!V82</f>
        <v>224490</v>
      </c>
      <c r="H125" s="27">
        <f>TRUNC(D125*G125,2)</f>
        <v>94285.8</v>
      </c>
      <c r="I125" s="28">
        <f>단가대비표!AE82</f>
        <v>0</v>
      </c>
      <c r="J125" s="27">
        <f>TRUNC(D125*I125,2)</f>
        <v>0</v>
      </c>
      <c r="K125" s="27">
        <f t="shared" si="24"/>
        <v>224490</v>
      </c>
      <c r="L125" s="27">
        <f t="shared" si="24"/>
        <v>94285.8</v>
      </c>
      <c r="M125" s="29" t="s">
        <v>758</v>
      </c>
      <c r="N125" s="7" t="s">
        <v>71</v>
      </c>
      <c r="O125" s="14" t="s">
        <v>1315</v>
      </c>
      <c r="P125" s="14" t="s">
        <v>823</v>
      </c>
      <c r="Q125" s="14" t="s">
        <v>823</v>
      </c>
      <c r="R125" s="14" t="s">
        <v>228</v>
      </c>
      <c r="S125" s="31">
        <v>20</v>
      </c>
      <c r="T125" s="14" t="s">
        <v>823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</row>
    <row r="126" spans="1:28" ht="29.1" customHeight="1" x14ac:dyDescent="0.3">
      <c r="A126" s="5" t="s">
        <v>1216</v>
      </c>
      <c r="B126" s="29" t="s">
        <v>942</v>
      </c>
      <c r="C126" s="5" t="s">
        <v>298</v>
      </c>
      <c r="D126" s="10">
        <v>2.5</v>
      </c>
      <c r="E126" s="28">
        <f>일위대가목록!E62</f>
        <v>21851</v>
      </c>
      <c r="F126" s="27">
        <f>TRUNC(D126*E126,2)</f>
        <v>54627.5</v>
      </c>
      <c r="G126" s="28">
        <f>일위대가목록!F62</f>
        <v>58296</v>
      </c>
      <c r="H126" s="27">
        <f>TRUNC(D126*G126,2)</f>
        <v>145740</v>
      </c>
      <c r="I126" s="28">
        <f>일위대가목록!G62</f>
        <v>88909</v>
      </c>
      <c r="J126" s="27">
        <f>TRUNC(D126*I126,2)</f>
        <v>222272.5</v>
      </c>
      <c r="K126" s="27">
        <f t="shared" si="24"/>
        <v>169056</v>
      </c>
      <c r="L126" s="27">
        <f t="shared" si="24"/>
        <v>422640</v>
      </c>
      <c r="M126" s="29" t="s">
        <v>1161</v>
      </c>
      <c r="N126" s="7" t="s">
        <v>71</v>
      </c>
      <c r="O126" s="14" t="s">
        <v>909</v>
      </c>
      <c r="P126" s="14" t="s">
        <v>823</v>
      </c>
      <c r="Q126" s="14" t="s">
        <v>823</v>
      </c>
      <c r="R126" s="14" t="s">
        <v>228</v>
      </c>
      <c r="S126" s="31">
        <v>30</v>
      </c>
      <c r="T126" s="14" t="s">
        <v>823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</row>
    <row r="127" spans="1:28" ht="29.1" customHeight="1" x14ac:dyDescent="0.3">
      <c r="A127" s="5" t="s">
        <v>621</v>
      </c>
      <c r="B127" s="5" t="s">
        <v>823</v>
      </c>
      <c r="C127" s="5" t="s">
        <v>823</v>
      </c>
      <c r="D127" s="5" t="s">
        <v>823</v>
      </c>
      <c r="E127" s="28">
        <v>0</v>
      </c>
      <c r="F127" s="28">
        <f>TRUNC(SUMIF(R124:R126, " ", F124:F126),0)</f>
        <v>54627</v>
      </c>
      <c r="G127" s="28">
        <v>0</v>
      </c>
      <c r="H127" s="28">
        <f>TRUNC(SUMIF(R124:R126, " ", H124:H126),0)</f>
        <v>660049</v>
      </c>
      <c r="I127" s="28">
        <v>0</v>
      </c>
      <c r="J127" s="27">
        <f>TRUNC(SUMIF(R124:R126, " ", J124:J126),0)</f>
        <v>222272</v>
      </c>
      <c r="K127" s="20" t="s">
        <v>823</v>
      </c>
      <c r="L127" s="28">
        <f>F127+H127+J127</f>
        <v>936948</v>
      </c>
      <c r="M127" s="29"/>
      <c r="N127" s="24" t="s">
        <v>747</v>
      </c>
      <c r="O127" s="4" t="s">
        <v>747</v>
      </c>
    </row>
    <row r="128" spans="1:28" ht="29.1" customHeight="1" x14ac:dyDescent="0.3">
      <c r="A128" s="5" t="s">
        <v>823</v>
      </c>
      <c r="B128" s="5" t="s">
        <v>823</v>
      </c>
      <c r="C128" s="5" t="s">
        <v>823</v>
      </c>
      <c r="D128" s="5" t="s">
        <v>823</v>
      </c>
      <c r="E128" s="5" t="s">
        <v>823</v>
      </c>
      <c r="F128" s="5" t="s">
        <v>823</v>
      </c>
      <c r="G128" s="5" t="s">
        <v>823</v>
      </c>
      <c r="H128" s="5" t="s">
        <v>823</v>
      </c>
      <c r="I128" s="5" t="s">
        <v>823</v>
      </c>
      <c r="J128" s="5" t="s">
        <v>823</v>
      </c>
      <c r="K128" s="5" t="s">
        <v>823</v>
      </c>
      <c r="L128" s="5" t="s">
        <v>823</v>
      </c>
      <c r="M128" s="5" t="s">
        <v>823</v>
      </c>
    </row>
    <row r="129" spans="1:28" ht="29.1" customHeight="1" x14ac:dyDescent="0.3">
      <c r="A129" s="48" t="s">
        <v>972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7" t="s">
        <v>844</v>
      </c>
    </row>
    <row r="130" spans="1:28" ht="29.1" customHeight="1" x14ac:dyDescent="0.3">
      <c r="A130" s="5" t="s">
        <v>945</v>
      </c>
      <c r="B130" s="29" t="s">
        <v>702</v>
      </c>
      <c r="C130" s="5" t="s">
        <v>1224</v>
      </c>
      <c r="D130" s="10">
        <v>3.6562000000000001</v>
      </c>
      <c r="E130" s="28">
        <f>단가대비표!U15</f>
        <v>400</v>
      </c>
      <c r="F130" s="27">
        <f>TRUNC(D130*E130,2)</f>
        <v>1462.48</v>
      </c>
      <c r="G130" s="28">
        <f>단가대비표!V15</f>
        <v>0</v>
      </c>
      <c r="H130" s="27">
        <f>TRUNC(D130*G130,2)</f>
        <v>0</v>
      </c>
      <c r="I130" s="28">
        <f>단가대비표!AE15</f>
        <v>0</v>
      </c>
      <c r="J130" s="27">
        <f>TRUNC(D130*I130,2)</f>
        <v>0</v>
      </c>
      <c r="K130" s="27">
        <f>E130+G130+I130</f>
        <v>400</v>
      </c>
      <c r="L130" s="27">
        <f>F130+H130+J130</f>
        <v>1462.48</v>
      </c>
      <c r="M130" s="29" t="s">
        <v>826</v>
      </c>
      <c r="N130" s="7" t="s">
        <v>844</v>
      </c>
      <c r="O130" s="14" t="s">
        <v>1</v>
      </c>
      <c r="P130" s="14" t="s">
        <v>823</v>
      </c>
      <c r="Q130" s="14" t="s">
        <v>823</v>
      </c>
      <c r="R130" s="14" t="s">
        <v>228</v>
      </c>
      <c r="S130" s="31">
        <v>30</v>
      </c>
      <c r="T130" s="14" t="s">
        <v>462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</row>
    <row r="131" spans="1:28" ht="29.1" customHeight="1" x14ac:dyDescent="0.3">
      <c r="A131" s="5" t="s">
        <v>788</v>
      </c>
      <c r="B131" s="29" t="s">
        <v>943</v>
      </c>
      <c r="C131" s="5" t="s">
        <v>547</v>
      </c>
      <c r="D131" s="10">
        <v>1</v>
      </c>
      <c r="E131" s="28">
        <f>일위대가목록!E58</f>
        <v>0</v>
      </c>
      <c r="F131" s="27">
        <f>TRUNC(D131*E131,2)</f>
        <v>0</v>
      </c>
      <c r="G131" s="28">
        <f>일위대가목록!F58</f>
        <v>40321</v>
      </c>
      <c r="H131" s="27">
        <f>TRUNC(D131*G131,2)</f>
        <v>40321</v>
      </c>
      <c r="I131" s="28">
        <f>일위대가목록!G58</f>
        <v>0</v>
      </c>
      <c r="J131" s="27">
        <f>TRUNC(D131*I131,2)</f>
        <v>0</v>
      </c>
      <c r="K131" s="27">
        <f>E131+G131+I131</f>
        <v>40321</v>
      </c>
      <c r="L131" s="27">
        <f>F131+H131+J131</f>
        <v>40321</v>
      </c>
      <c r="M131" s="29" t="s">
        <v>121</v>
      </c>
      <c r="N131" s="7" t="s">
        <v>844</v>
      </c>
      <c r="O131" s="14" t="s">
        <v>188</v>
      </c>
      <c r="P131" s="14" t="s">
        <v>823</v>
      </c>
      <c r="Q131" s="14" t="s">
        <v>823</v>
      </c>
      <c r="R131" s="14" t="s">
        <v>228</v>
      </c>
      <c r="S131" s="31">
        <v>40</v>
      </c>
      <c r="T131" s="14" t="s">
        <v>997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</row>
    <row r="132" spans="1:28" ht="29.1" customHeight="1" x14ac:dyDescent="0.3">
      <c r="A132" s="5" t="s">
        <v>621</v>
      </c>
      <c r="B132" s="5" t="s">
        <v>823</v>
      </c>
      <c r="C132" s="5" t="s">
        <v>823</v>
      </c>
      <c r="D132" s="5" t="s">
        <v>823</v>
      </c>
      <c r="E132" s="28">
        <v>0</v>
      </c>
      <c r="F132" s="28">
        <f>TRUNC(SUMIF(R130:R131, " ", F130:F131),0)</f>
        <v>1462</v>
      </c>
      <c r="G132" s="28">
        <v>0</v>
      </c>
      <c r="H132" s="28">
        <f>TRUNC(SUMIF(R130:R131, " ", H130:H131),0)</f>
        <v>40321</v>
      </c>
      <c r="I132" s="28">
        <v>0</v>
      </c>
      <c r="J132" s="27">
        <f>TRUNC(SUMIF(R130:R131, " ", J130:J131),0)</f>
        <v>0</v>
      </c>
      <c r="K132" s="20" t="s">
        <v>823</v>
      </c>
      <c r="L132" s="28">
        <f>F132+H132+J132</f>
        <v>41783</v>
      </c>
      <c r="M132" s="29"/>
      <c r="N132" s="24" t="s">
        <v>747</v>
      </c>
      <c r="O132" s="4" t="s">
        <v>747</v>
      </c>
    </row>
    <row r="133" spans="1:28" ht="29.1" customHeight="1" x14ac:dyDescent="0.3">
      <c r="A133" s="5" t="s">
        <v>823</v>
      </c>
      <c r="B133" s="5" t="s">
        <v>823</v>
      </c>
      <c r="C133" s="5" t="s">
        <v>823</v>
      </c>
      <c r="D133" s="5" t="s">
        <v>823</v>
      </c>
      <c r="E133" s="5" t="s">
        <v>823</v>
      </c>
      <c r="F133" s="5" t="s">
        <v>823</v>
      </c>
      <c r="G133" s="5" t="s">
        <v>823</v>
      </c>
      <c r="H133" s="5" t="s">
        <v>823</v>
      </c>
      <c r="I133" s="5" t="s">
        <v>823</v>
      </c>
      <c r="J133" s="5" t="s">
        <v>823</v>
      </c>
      <c r="K133" s="5" t="s">
        <v>823</v>
      </c>
      <c r="L133" s="5" t="s">
        <v>823</v>
      </c>
      <c r="M133" s="5" t="s">
        <v>823</v>
      </c>
    </row>
    <row r="134" spans="1:28" ht="29.1" customHeight="1" x14ac:dyDescent="0.3">
      <c r="A134" s="48" t="s">
        <v>1118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7" t="s">
        <v>225</v>
      </c>
    </row>
    <row r="135" spans="1:28" ht="29.1" customHeight="1" x14ac:dyDescent="0.3">
      <c r="A135" s="5" t="s">
        <v>945</v>
      </c>
      <c r="B135" s="29" t="s">
        <v>702</v>
      </c>
      <c r="C135" s="5" t="s">
        <v>1224</v>
      </c>
      <c r="D135" s="10">
        <v>5.2649999999999997</v>
      </c>
      <c r="E135" s="28">
        <f>단가대비표!U15</f>
        <v>400</v>
      </c>
      <c r="F135" s="27">
        <f>TRUNC(D135*E135,2)</f>
        <v>2106</v>
      </c>
      <c r="G135" s="28">
        <f>단가대비표!V15</f>
        <v>0</v>
      </c>
      <c r="H135" s="27">
        <f>TRUNC(D135*G135,2)</f>
        <v>0</v>
      </c>
      <c r="I135" s="28">
        <f>단가대비표!AE15</f>
        <v>0</v>
      </c>
      <c r="J135" s="27">
        <f>TRUNC(D135*I135,2)</f>
        <v>0</v>
      </c>
      <c r="K135" s="27">
        <f>E135+G135+I135</f>
        <v>400</v>
      </c>
      <c r="L135" s="27">
        <f>F135+H135+J135</f>
        <v>2106</v>
      </c>
      <c r="M135" s="29" t="s">
        <v>826</v>
      </c>
      <c r="N135" s="7" t="s">
        <v>225</v>
      </c>
      <c r="O135" s="14" t="s">
        <v>1</v>
      </c>
      <c r="P135" s="14" t="s">
        <v>823</v>
      </c>
      <c r="Q135" s="14" t="s">
        <v>823</v>
      </c>
      <c r="R135" s="14" t="s">
        <v>228</v>
      </c>
      <c r="S135" s="31">
        <v>30</v>
      </c>
      <c r="T135" s="14" t="s">
        <v>196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</row>
    <row r="136" spans="1:28" ht="29.1" customHeight="1" x14ac:dyDescent="0.3">
      <c r="A136" s="5" t="s">
        <v>788</v>
      </c>
      <c r="B136" s="29" t="s">
        <v>943</v>
      </c>
      <c r="C136" s="5" t="s">
        <v>547</v>
      </c>
      <c r="D136" s="10">
        <v>1</v>
      </c>
      <c r="E136" s="28">
        <f>일위대가목록!E58</f>
        <v>0</v>
      </c>
      <c r="F136" s="27">
        <f>TRUNC(D136*E136,2)</f>
        <v>0</v>
      </c>
      <c r="G136" s="28">
        <f>일위대가목록!F58</f>
        <v>40321</v>
      </c>
      <c r="H136" s="27">
        <f>TRUNC(D136*G136,2)</f>
        <v>40321</v>
      </c>
      <c r="I136" s="28">
        <f>일위대가목록!G58</f>
        <v>0</v>
      </c>
      <c r="J136" s="27">
        <f>TRUNC(D136*I136,2)</f>
        <v>0</v>
      </c>
      <c r="K136" s="27">
        <f>E136+G136+I136</f>
        <v>40321</v>
      </c>
      <c r="L136" s="27">
        <f>F136+H136+J136</f>
        <v>40321</v>
      </c>
      <c r="M136" s="29" t="s">
        <v>121</v>
      </c>
      <c r="N136" s="7" t="s">
        <v>225</v>
      </c>
      <c r="O136" s="14" t="s">
        <v>188</v>
      </c>
      <c r="P136" s="14" t="s">
        <v>823</v>
      </c>
      <c r="Q136" s="14" t="s">
        <v>823</v>
      </c>
      <c r="R136" s="14" t="s">
        <v>228</v>
      </c>
      <c r="S136" s="31">
        <v>40</v>
      </c>
      <c r="T136" s="14" t="s">
        <v>997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</row>
    <row r="137" spans="1:28" ht="29.1" customHeight="1" x14ac:dyDescent="0.3">
      <c r="A137" s="5" t="s">
        <v>621</v>
      </c>
      <c r="B137" s="5" t="s">
        <v>823</v>
      </c>
      <c r="C137" s="5" t="s">
        <v>823</v>
      </c>
      <c r="D137" s="5" t="s">
        <v>823</v>
      </c>
      <c r="E137" s="28">
        <v>0</v>
      </c>
      <c r="F137" s="28">
        <f>TRUNC(SUMIF(R135:R136, " ", F135:F136),0)</f>
        <v>2106</v>
      </c>
      <c r="G137" s="28">
        <v>0</v>
      </c>
      <c r="H137" s="28">
        <f>TRUNC(SUMIF(R135:R136, " ", H135:H136),0)</f>
        <v>40321</v>
      </c>
      <c r="I137" s="28">
        <v>0</v>
      </c>
      <c r="J137" s="27">
        <f>TRUNC(SUMIF(R135:R136, " ", J135:J136),0)</f>
        <v>0</v>
      </c>
      <c r="K137" s="20" t="s">
        <v>823</v>
      </c>
      <c r="L137" s="28">
        <f>F137+H137+J137</f>
        <v>42427</v>
      </c>
      <c r="M137" s="29"/>
      <c r="N137" s="24" t="s">
        <v>747</v>
      </c>
      <c r="O137" s="4" t="s">
        <v>747</v>
      </c>
    </row>
    <row r="138" spans="1:28" ht="29.1" customHeight="1" x14ac:dyDescent="0.3">
      <c r="A138" s="5" t="s">
        <v>823</v>
      </c>
      <c r="B138" s="5" t="s">
        <v>823</v>
      </c>
      <c r="C138" s="5" t="s">
        <v>823</v>
      </c>
      <c r="D138" s="5" t="s">
        <v>823</v>
      </c>
      <c r="E138" s="5" t="s">
        <v>823</v>
      </c>
      <c r="F138" s="5" t="s">
        <v>823</v>
      </c>
      <c r="G138" s="5" t="s">
        <v>823</v>
      </c>
      <c r="H138" s="5" t="s">
        <v>823</v>
      </c>
      <c r="I138" s="5" t="s">
        <v>823</v>
      </c>
      <c r="J138" s="5" t="s">
        <v>823</v>
      </c>
      <c r="K138" s="5" t="s">
        <v>823</v>
      </c>
      <c r="L138" s="5" t="s">
        <v>823</v>
      </c>
      <c r="M138" s="5" t="s">
        <v>823</v>
      </c>
    </row>
    <row r="139" spans="1:28" ht="29.1" customHeight="1" x14ac:dyDescent="0.3">
      <c r="A139" s="48" t="s">
        <v>1048</v>
      </c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7" t="s">
        <v>860</v>
      </c>
    </row>
    <row r="140" spans="1:28" ht="29.1" customHeight="1" x14ac:dyDescent="0.3">
      <c r="A140" s="5" t="s">
        <v>358</v>
      </c>
      <c r="B140" s="29" t="s">
        <v>385</v>
      </c>
      <c r="C140" s="5" t="s">
        <v>290</v>
      </c>
      <c r="D140" s="10">
        <v>0.104</v>
      </c>
      <c r="E140" s="28">
        <f>단가대비표!U64</f>
        <v>8402</v>
      </c>
      <c r="F140" s="27">
        <f>TRUNC(D140*E140,2)</f>
        <v>873.8</v>
      </c>
      <c r="G140" s="28">
        <f>단가대비표!V64</f>
        <v>0</v>
      </c>
      <c r="H140" s="27">
        <f>TRUNC(D140*G140,2)</f>
        <v>0</v>
      </c>
      <c r="I140" s="28">
        <f>단가대비표!AE64</f>
        <v>0</v>
      </c>
      <c r="J140" s="27">
        <f>TRUNC(D140*I140,2)</f>
        <v>0</v>
      </c>
      <c r="K140" s="27">
        <f t="shared" ref="K140:L144" si="25">E140+G140+I140</f>
        <v>8402</v>
      </c>
      <c r="L140" s="27">
        <f t="shared" si="25"/>
        <v>873.8</v>
      </c>
      <c r="M140" s="29" t="s">
        <v>1197</v>
      </c>
      <c r="N140" s="7" t="s">
        <v>860</v>
      </c>
      <c r="O140" s="14" t="s">
        <v>973</v>
      </c>
      <c r="P140" s="14" t="s">
        <v>823</v>
      </c>
      <c r="Q140" s="14" t="s">
        <v>823</v>
      </c>
      <c r="R140" s="14" t="s">
        <v>228</v>
      </c>
      <c r="S140" s="31">
        <v>10</v>
      </c>
      <c r="T140" s="14" t="s">
        <v>823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</row>
    <row r="141" spans="1:28" ht="29.1" customHeight="1" x14ac:dyDescent="0.3">
      <c r="A141" s="5" t="s">
        <v>21</v>
      </c>
      <c r="B141" s="29" t="s">
        <v>1130</v>
      </c>
      <c r="C141" s="5" t="s">
        <v>290</v>
      </c>
      <c r="D141" s="10">
        <v>5.1999999999999998E-3</v>
      </c>
      <c r="E141" s="28">
        <f>단가대비표!U66</f>
        <v>2708</v>
      </c>
      <c r="F141" s="27">
        <f>TRUNC(D141*E141,2)</f>
        <v>14.08</v>
      </c>
      <c r="G141" s="28">
        <f>단가대비표!V66</f>
        <v>0</v>
      </c>
      <c r="H141" s="27">
        <f>TRUNC(D141*G141,2)</f>
        <v>0</v>
      </c>
      <c r="I141" s="28">
        <f>단가대비표!AE66</f>
        <v>0</v>
      </c>
      <c r="J141" s="27">
        <f>TRUNC(D141*I141,2)</f>
        <v>0</v>
      </c>
      <c r="K141" s="27">
        <f t="shared" si="25"/>
        <v>2708</v>
      </c>
      <c r="L141" s="27">
        <f t="shared" si="25"/>
        <v>14.08</v>
      </c>
      <c r="M141" s="29" t="s">
        <v>1200</v>
      </c>
      <c r="N141" s="7" t="s">
        <v>860</v>
      </c>
      <c r="O141" s="14" t="s">
        <v>664</v>
      </c>
      <c r="P141" s="14" t="s">
        <v>823</v>
      </c>
      <c r="Q141" s="14" t="s">
        <v>823</v>
      </c>
      <c r="R141" s="14" t="s">
        <v>228</v>
      </c>
      <c r="S141" s="31">
        <v>20</v>
      </c>
      <c r="T141" s="14" t="s">
        <v>823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</row>
    <row r="142" spans="1:28" ht="29.1" customHeight="1" x14ac:dyDescent="0.3">
      <c r="A142" s="5" t="s">
        <v>556</v>
      </c>
      <c r="B142" s="29" t="s">
        <v>269</v>
      </c>
      <c r="C142" s="5" t="s">
        <v>656</v>
      </c>
      <c r="D142" s="10">
        <v>2.7000000000000001E-3</v>
      </c>
      <c r="E142" s="28">
        <f>단가대비표!U90</f>
        <v>0</v>
      </c>
      <c r="F142" s="27">
        <f>TRUNC(D142*E142,2)</f>
        <v>0</v>
      </c>
      <c r="G142" s="28">
        <f>단가대비표!V90</f>
        <v>258362</v>
      </c>
      <c r="H142" s="27">
        <f>TRUNC(D142*G142,2)</f>
        <v>697.57</v>
      </c>
      <c r="I142" s="28">
        <f>단가대비표!AE90</f>
        <v>0</v>
      </c>
      <c r="J142" s="27">
        <f>TRUNC(D142*I142,2)</f>
        <v>0</v>
      </c>
      <c r="K142" s="27">
        <f t="shared" si="25"/>
        <v>258362</v>
      </c>
      <c r="L142" s="27">
        <f t="shared" si="25"/>
        <v>697.57</v>
      </c>
      <c r="M142" s="29" t="s">
        <v>355</v>
      </c>
      <c r="N142" s="7" t="s">
        <v>860</v>
      </c>
      <c r="O142" s="14" t="s">
        <v>337</v>
      </c>
      <c r="P142" s="14" t="s">
        <v>823</v>
      </c>
      <c r="Q142" s="14" t="s">
        <v>823</v>
      </c>
      <c r="R142" s="14" t="s">
        <v>228</v>
      </c>
      <c r="S142" s="31">
        <v>30</v>
      </c>
      <c r="T142" s="14" t="s">
        <v>823</v>
      </c>
      <c r="U142" s="31">
        <v>0</v>
      </c>
      <c r="V142" s="31">
        <v>1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</row>
    <row r="143" spans="1:28" ht="29.1" customHeight="1" x14ac:dyDescent="0.3">
      <c r="A143" s="5" t="s">
        <v>1250</v>
      </c>
      <c r="B143" s="29" t="s">
        <v>269</v>
      </c>
      <c r="C143" s="5" t="s">
        <v>656</v>
      </c>
      <c r="D143" s="10">
        <v>1.2999999999999999E-3</v>
      </c>
      <c r="E143" s="28">
        <f>단가대비표!U81</f>
        <v>0</v>
      </c>
      <c r="F143" s="27">
        <f>TRUNC(D143*E143,2)</f>
        <v>0</v>
      </c>
      <c r="G143" s="28">
        <f>단가대비표!V81</f>
        <v>171037</v>
      </c>
      <c r="H143" s="27">
        <f>TRUNC(D143*G143,2)</f>
        <v>222.34</v>
      </c>
      <c r="I143" s="28">
        <f>단가대비표!AE81</f>
        <v>0</v>
      </c>
      <c r="J143" s="27">
        <f>TRUNC(D143*I143,2)</f>
        <v>0</v>
      </c>
      <c r="K143" s="27">
        <f t="shared" si="25"/>
        <v>171037</v>
      </c>
      <c r="L143" s="27">
        <f t="shared" si="25"/>
        <v>222.34</v>
      </c>
      <c r="M143" s="29" t="s">
        <v>162</v>
      </c>
      <c r="N143" s="7" t="s">
        <v>860</v>
      </c>
      <c r="O143" s="14" t="s">
        <v>40</v>
      </c>
      <c r="P143" s="14" t="s">
        <v>823</v>
      </c>
      <c r="Q143" s="14" t="s">
        <v>823</v>
      </c>
      <c r="R143" s="14" t="s">
        <v>228</v>
      </c>
      <c r="S143" s="31">
        <v>40</v>
      </c>
      <c r="T143" s="14" t="s">
        <v>823</v>
      </c>
      <c r="U143" s="31">
        <v>0</v>
      </c>
      <c r="V143" s="31">
        <v>1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</row>
    <row r="144" spans="1:28" ht="29.1" customHeight="1" x14ac:dyDescent="0.3">
      <c r="A144" s="5" t="s">
        <v>592</v>
      </c>
      <c r="B144" s="29" t="s">
        <v>834</v>
      </c>
      <c r="C144" s="5" t="s">
        <v>136</v>
      </c>
      <c r="D144" s="10">
        <v>1</v>
      </c>
      <c r="E144" s="27">
        <f>TRUNC(SUMIF(V140:V144, RIGHTB(O144, 1), H140:H144)*U144, 2)</f>
        <v>110.38</v>
      </c>
      <c r="F144" s="27">
        <f>TRUNC(D144*E144,2)</f>
        <v>110.38</v>
      </c>
      <c r="G144" s="27">
        <v>0</v>
      </c>
      <c r="H144" s="27">
        <f>TRUNC(D144*G144,2)</f>
        <v>0</v>
      </c>
      <c r="I144" s="27">
        <v>0</v>
      </c>
      <c r="J144" s="27">
        <f>TRUNC(D144*I144,2)</f>
        <v>0</v>
      </c>
      <c r="K144" s="27">
        <f t="shared" si="25"/>
        <v>110.38</v>
      </c>
      <c r="L144" s="27">
        <f t="shared" si="25"/>
        <v>110.38</v>
      </c>
      <c r="M144" s="29"/>
      <c r="N144" s="7" t="s">
        <v>860</v>
      </c>
      <c r="O144" s="14" t="s">
        <v>572</v>
      </c>
      <c r="P144" s="14" t="s">
        <v>823</v>
      </c>
      <c r="Q144" s="14" t="s">
        <v>823</v>
      </c>
      <c r="R144" s="14" t="s">
        <v>228</v>
      </c>
      <c r="S144" s="31">
        <v>50</v>
      </c>
      <c r="T144" s="14" t="s">
        <v>800</v>
      </c>
      <c r="U144" s="31">
        <v>0.12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</row>
    <row r="145" spans="1:28" ht="29.1" customHeight="1" x14ac:dyDescent="0.3">
      <c r="A145" s="5" t="s">
        <v>621</v>
      </c>
      <c r="B145" s="5" t="s">
        <v>823</v>
      </c>
      <c r="C145" s="5" t="s">
        <v>823</v>
      </c>
      <c r="D145" s="5" t="s">
        <v>823</v>
      </c>
      <c r="E145" s="28">
        <v>0</v>
      </c>
      <c r="F145" s="28">
        <f>TRUNC(SUMIF(R140:R144, " ", F140:F144),0)</f>
        <v>998</v>
      </c>
      <c r="G145" s="28">
        <v>0</v>
      </c>
      <c r="H145" s="28">
        <f>TRUNC(SUMIF(R140:R144, " ", H140:H144),0)</f>
        <v>919</v>
      </c>
      <c r="I145" s="28">
        <v>0</v>
      </c>
      <c r="J145" s="27">
        <f>TRUNC(SUMIF(R140:R144, " ", J140:J144),0)</f>
        <v>0</v>
      </c>
      <c r="K145" s="20" t="s">
        <v>823</v>
      </c>
      <c r="L145" s="28">
        <f>F145+H145+J145</f>
        <v>1917</v>
      </c>
      <c r="M145" s="29"/>
      <c r="N145" s="24" t="s">
        <v>747</v>
      </c>
      <c r="O145" s="4" t="s">
        <v>747</v>
      </c>
    </row>
    <row r="146" spans="1:28" ht="29.1" customHeight="1" x14ac:dyDescent="0.3">
      <c r="A146" s="5" t="s">
        <v>823</v>
      </c>
      <c r="B146" s="5" t="s">
        <v>823</v>
      </c>
      <c r="C146" s="5" t="s">
        <v>823</v>
      </c>
      <c r="D146" s="5" t="s">
        <v>823</v>
      </c>
      <c r="E146" s="5" t="s">
        <v>823</v>
      </c>
      <c r="F146" s="5" t="s">
        <v>823</v>
      </c>
      <c r="G146" s="5" t="s">
        <v>823</v>
      </c>
      <c r="H146" s="5" t="s">
        <v>823</v>
      </c>
      <c r="I146" s="5" t="s">
        <v>823</v>
      </c>
      <c r="J146" s="5" t="s">
        <v>823</v>
      </c>
      <c r="K146" s="5" t="s">
        <v>823</v>
      </c>
      <c r="L146" s="5" t="s">
        <v>823</v>
      </c>
      <c r="M146" s="5" t="s">
        <v>823</v>
      </c>
    </row>
    <row r="147" spans="1:28" ht="29.1" customHeight="1" x14ac:dyDescent="0.3">
      <c r="A147" s="48" t="s">
        <v>1028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7" t="s">
        <v>684</v>
      </c>
    </row>
    <row r="148" spans="1:28" ht="29.1" customHeight="1" x14ac:dyDescent="0.3">
      <c r="A148" s="5" t="s">
        <v>38</v>
      </c>
      <c r="B148" s="29" t="s">
        <v>54</v>
      </c>
      <c r="C148" s="5" t="s">
        <v>290</v>
      </c>
      <c r="D148" s="10">
        <v>0.21579999999999999</v>
      </c>
      <c r="E148" s="28">
        <f>단가대비표!U65</f>
        <v>6067</v>
      </c>
      <c r="F148" s="27">
        <f t="shared" ref="F148:F153" si="26">TRUNC(D148*E148,2)</f>
        <v>1309.25</v>
      </c>
      <c r="G148" s="28">
        <f>단가대비표!V65</f>
        <v>0</v>
      </c>
      <c r="H148" s="27">
        <f t="shared" ref="H148:H153" si="27">TRUNC(D148*G148,2)</f>
        <v>0</v>
      </c>
      <c r="I148" s="28">
        <f>단가대비표!AE65</f>
        <v>0</v>
      </c>
      <c r="J148" s="27">
        <f t="shared" ref="J148:J153" si="28">TRUNC(D148*I148,2)</f>
        <v>0</v>
      </c>
      <c r="K148" s="27">
        <f t="shared" ref="K148:L153" si="29">E148+G148+I148</f>
        <v>6067</v>
      </c>
      <c r="L148" s="27">
        <f t="shared" si="29"/>
        <v>1309.25</v>
      </c>
      <c r="M148" s="29" t="s">
        <v>965</v>
      </c>
      <c r="N148" s="7" t="s">
        <v>684</v>
      </c>
      <c r="O148" s="14" t="s">
        <v>1208</v>
      </c>
      <c r="P148" s="14" t="s">
        <v>823</v>
      </c>
      <c r="Q148" s="14" t="s">
        <v>823</v>
      </c>
      <c r="R148" s="14" t="s">
        <v>228</v>
      </c>
      <c r="S148" s="31">
        <v>10</v>
      </c>
      <c r="T148" s="14" t="s">
        <v>823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</row>
    <row r="149" spans="1:28" ht="29.1" customHeight="1" x14ac:dyDescent="0.3">
      <c r="A149" s="5" t="s">
        <v>21</v>
      </c>
      <c r="B149" s="29" t="s">
        <v>1130</v>
      </c>
      <c r="C149" s="5" t="s">
        <v>290</v>
      </c>
      <c r="D149" s="10">
        <v>1.04E-2</v>
      </c>
      <c r="E149" s="28">
        <f>단가대비표!U66</f>
        <v>2708</v>
      </c>
      <c r="F149" s="27">
        <f t="shared" si="26"/>
        <v>28.16</v>
      </c>
      <c r="G149" s="28">
        <f>단가대비표!V66</f>
        <v>0</v>
      </c>
      <c r="H149" s="27">
        <f t="shared" si="27"/>
        <v>0</v>
      </c>
      <c r="I149" s="28">
        <f>단가대비표!AE66</f>
        <v>0</v>
      </c>
      <c r="J149" s="27">
        <f t="shared" si="28"/>
        <v>0</v>
      </c>
      <c r="K149" s="27">
        <f t="shared" si="29"/>
        <v>2708</v>
      </c>
      <c r="L149" s="27">
        <f t="shared" si="29"/>
        <v>28.16</v>
      </c>
      <c r="M149" s="29" t="s">
        <v>1200</v>
      </c>
      <c r="N149" s="7" t="s">
        <v>684</v>
      </c>
      <c r="O149" s="14" t="s">
        <v>664</v>
      </c>
      <c r="P149" s="14" t="s">
        <v>823</v>
      </c>
      <c r="Q149" s="14" t="s">
        <v>823</v>
      </c>
      <c r="R149" s="14" t="s">
        <v>228</v>
      </c>
      <c r="S149" s="31">
        <v>20</v>
      </c>
      <c r="T149" s="14" t="s">
        <v>823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</row>
    <row r="150" spans="1:28" ht="29.1" customHeight="1" x14ac:dyDescent="0.3">
      <c r="A150" s="5" t="s">
        <v>556</v>
      </c>
      <c r="B150" s="29" t="s">
        <v>269</v>
      </c>
      <c r="C150" s="5" t="s">
        <v>656</v>
      </c>
      <c r="D150" s="10">
        <v>5.4000000000000003E-3</v>
      </c>
      <c r="E150" s="28">
        <f>단가대비표!U90</f>
        <v>0</v>
      </c>
      <c r="F150" s="27">
        <f t="shared" si="26"/>
        <v>0</v>
      </c>
      <c r="G150" s="28">
        <f>단가대비표!V90</f>
        <v>258362</v>
      </c>
      <c r="H150" s="27">
        <f t="shared" si="27"/>
        <v>1395.15</v>
      </c>
      <c r="I150" s="28">
        <f>단가대비표!AE90</f>
        <v>0</v>
      </c>
      <c r="J150" s="27">
        <f t="shared" si="28"/>
        <v>0</v>
      </c>
      <c r="K150" s="27">
        <f t="shared" si="29"/>
        <v>258362</v>
      </c>
      <c r="L150" s="27">
        <f t="shared" si="29"/>
        <v>1395.15</v>
      </c>
      <c r="M150" s="29" t="s">
        <v>355</v>
      </c>
      <c r="N150" s="7" t="s">
        <v>684</v>
      </c>
      <c r="O150" s="14" t="s">
        <v>337</v>
      </c>
      <c r="P150" s="14" t="s">
        <v>823</v>
      </c>
      <c r="Q150" s="14" t="s">
        <v>823</v>
      </c>
      <c r="R150" s="14" t="s">
        <v>228</v>
      </c>
      <c r="S150" s="31">
        <v>30</v>
      </c>
      <c r="T150" s="14" t="s">
        <v>823</v>
      </c>
      <c r="U150" s="31">
        <v>0</v>
      </c>
      <c r="V150" s="31">
        <v>1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</row>
    <row r="151" spans="1:28" ht="29.1" customHeight="1" x14ac:dyDescent="0.3">
      <c r="A151" s="5" t="s">
        <v>1250</v>
      </c>
      <c r="B151" s="29" t="s">
        <v>269</v>
      </c>
      <c r="C151" s="5" t="s">
        <v>656</v>
      </c>
      <c r="D151" s="10">
        <v>2.5999999999999999E-3</v>
      </c>
      <c r="E151" s="28">
        <f>단가대비표!U81</f>
        <v>0</v>
      </c>
      <c r="F151" s="27">
        <f t="shared" si="26"/>
        <v>0</v>
      </c>
      <c r="G151" s="28">
        <f>단가대비표!V81</f>
        <v>171037</v>
      </c>
      <c r="H151" s="27">
        <f t="shared" si="27"/>
        <v>444.69</v>
      </c>
      <c r="I151" s="28">
        <f>단가대비표!AE81</f>
        <v>0</v>
      </c>
      <c r="J151" s="27">
        <f t="shared" si="28"/>
        <v>0</v>
      </c>
      <c r="K151" s="27">
        <f t="shared" si="29"/>
        <v>171037</v>
      </c>
      <c r="L151" s="27">
        <f t="shared" si="29"/>
        <v>444.69</v>
      </c>
      <c r="M151" s="29" t="s">
        <v>162</v>
      </c>
      <c r="N151" s="7" t="s">
        <v>684</v>
      </c>
      <c r="O151" s="14" t="s">
        <v>40</v>
      </c>
      <c r="P151" s="14" t="s">
        <v>823</v>
      </c>
      <c r="Q151" s="14" t="s">
        <v>823</v>
      </c>
      <c r="R151" s="14" t="s">
        <v>228</v>
      </c>
      <c r="S151" s="31">
        <v>40</v>
      </c>
      <c r="T151" s="14" t="s">
        <v>823</v>
      </c>
      <c r="U151" s="31">
        <v>0</v>
      </c>
      <c r="V151" s="31">
        <v>1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</row>
    <row r="152" spans="1:28" ht="29.1" customHeight="1" x14ac:dyDescent="0.3">
      <c r="A152" s="5" t="s">
        <v>592</v>
      </c>
      <c r="B152" s="29" t="s">
        <v>834</v>
      </c>
      <c r="C152" s="5" t="s">
        <v>136</v>
      </c>
      <c r="D152" s="10">
        <v>1</v>
      </c>
      <c r="E152" s="27">
        <f>TRUNC(SUMIF(V148:V153, RIGHTB(O152, 1), H148:H153)*U152, 2)</f>
        <v>220.78</v>
      </c>
      <c r="F152" s="27">
        <f t="shared" si="26"/>
        <v>220.78</v>
      </c>
      <c r="G152" s="27">
        <v>0</v>
      </c>
      <c r="H152" s="27">
        <f t="shared" si="27"/>
        <v>0</v>
      </c>
      <c r="I152" s="27">
        <v>0</v>
      </c>
      <c r="J152" s="27">
        <f t="shared" si="28"/>
        <v>0</v>
      </c>
      <c r="K152" s="27">
        <f t="shared" si="29"/>
        <v>220.78</v>
      </c>
      <c r="L152" s="27">
        <f t="shared" si="29"/>
        <v>220.78</v>
      </c>
      <c r="M152" s="29"/>
      <c r="N152" s="7" t="s">
        <v>684</v>
      </c>
      <c r="O152" s="14" t="s">
        <v>572</v>
      </c>
      <c r="P152" s="14" t="s">
        <v>823</v>
      </c>
      <c r="Q152" s="14" t="s">
        <v>823</v>
      </c>
      <c r="R152" s="14" t="s">
        <v>228</v>
      </c>
      <c r="S152" s="31">
        <v>50</v>
      </c>
      <c r="T152" s="14" t="s">
        <v>800</v>
      </c>
      <c r="U152" s="31">
        <v>0.12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</row>
    <row r="153" spans="1:28" ht="29.1" customHeight="1" x14ac:dyDescent="0.3">
      <c r="A153" s="5" t="s">
        <v>1314</v>
      </c>
      <c r="B153" s="29" t="s">
        <v>396</v>
      </c>
      <c r="C153" s="5" t="s">
        <v>1004</v>
      </c>
      <c r="D153" s="10">
        <v>1</v>
      </c>
      <c r="E153" s="28">
        <f>일위대가목록!E68</f>
        <v>293</v>
      </c>
      <c r="F153" s="27">
        <f t="shared" si="26"/>
        <v>293</v>
      </c>
      <c r="G153" s="28">
        <f>일위대가목록!F68</f>
        <v>1462</v>
      </c>
      <c r="H153" s="27">
        <f t="shared" si="27"/>
        <v>1462</v>
      </c>
      <c r="I153" s="28">
        <f>일위대가목록!G68</f>
        <v>0</v>
      </c>
      <c r="J153" s="27">
        <f t="shared" si="28"/>
        <v>0</v>
      </c>
      <c r="K153" s="27">
        <f t="shared" si="29"/>
        <v>1755</v>
      </c>
      <c r="L153" s="27">
        <f t="shared" si="29"/>
        <v>1755</v>
      </c>
      <c r="M153" s="29" t="s">
        <v>205</v>
      </c>
      <c r="N153" s="7" t="s">
        <v>684</v>
      </c>
      <c r="O153" s="14" t="s">
        <v>504</v>
      </c>
      <c r="P153" s="14" t="s">
        <v>823</v>
      </c>
      <c r="Q153" s="14" t="s">
        <v>823</v>
      </c>
      <c r="R153" s="14" t="s">
        <v>228</v>
      </c>
      <c r="S153" s="31">
        <v>60</v>
      </c>
      <c r="T153" s="14" t="s">
        <v>823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</row>
    <row r="154" spans="1:28" ht="29.1" customHeight="1" x14ac:dyDescent="0.3">
      <c r="A154" s="5" t="s">
        <v>621</v>
      </c>
      <c r="B154" s="5" t="s">
        <v>823</v>
      </c>
      <c r="C154" s="5" t="s">
        <v>823</v>
      </c>
      <c r="D154" s="5" t="s">
        <v>823</v>
      </c>
      <c r="E154" s="28">
        <v>0</v>
      </c>
      <c r="F154" s="28">
        <f>TRUNC(SUMIF(R148:R153, " ", F148:F153),0)</f>
        <v>1851</v>
      </c>
      <c r="G154" s="28">
        <v>0</v>
      </c>
      <c r="H154" s="28">
        <f>TRUNC(SUMIF(R148:R153, " ", H148:H153),0)</f>
        <v>3301</v>
      </c>
      <c r="I154" s="28">
        <v>0</v>
      </c>
      <c r="J154" s="27">
        <f>TRUNC(SUMIF(R148:R153, " ", J148:J153),0)</f>
        <v>0</v>
      </c>
      <c r="K154" s="20" t="s">
        <v>823</v>
      </c>
      <c r="L154" s="28">
        <f>F154+H154+J154</f>
        <v>5152</v>
      </c>
      <c r="M154" s="29"/>
      <c r="N154" s="24" t="s">
        <v>747</v>
      </c>
      <c r="O154" s="4" t="s">
        <v>747</v>
      </c>
    </row>
    <row r="155" spans="1:28" ht="29.1" customHeight="1" x14ac:dyDescent="0.3">
      <c r="A155" s="5" t="s">
        <v>823</v>
      </c>
      <c r="B155" s="5" t="s">
        <v>823</v>
      </c>
      <c r="C155" s="5" t="s">
        <v>823</v>
      </c>
      <c r="D155" s="5" t="s">
        <v>823</v>
      </c>
      <c r="E155" s="5" t="s">
        <v>823</v>
      </c>
      <c r="F155" s="5" t="s">
        <v>823</v>
      </c>
      <c r="G155" s="5" t="s">
        <v>823</v>
      </c>
      <c r="H155" s="5" t="s">
        <v>823</v>
      </c>
      <c r="I155" s="5" t="s">
        <v>823</v>
      </c>
      <c r="J155" s="5" t="s">
        <v>823</v>
      </c>
      <c r="K155" s="5" t="s">
        <v>823</v>
      </c>
      <c r="L155" s="5" t="s">
        <v>823</v>
      </c>
      <c r="M155" s="5" t="s">
        <v>823</v>
      </c>
    </row>
    <row r="156" spans="1:28" ht="29.1" customHeight="1" x14ac:dyDescent="0.3">
      <c r="A156" s="48" t="s">
        <v>1079</v>
      </c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7" t="s">
        <v>976</v>
      </c>
    </row>
    <row r="157" spans="1:28" ht="29.1" customHeight="1" x14ac:dyDescent="0.3">
      <c r="A157" s="5" t="s">
        <v>840</v>
      </c>
      <c r="B157" s="29" t="s">
        <v>269</v>
      </c>
      <c r="C157" s="5" t="s">
        <v>656</v>
      </c>
      <c r="D157" s="10">
        <v>1.6E-2</v>
      </c>
      <c r="E157" s="28">
        <f>단가대비표!U86</f>
        <v>0</v>
      </c>
      <c r="F157" s="27">
        <f t="shared" ref="F157:F164" si="30">TRUNC(D157*E157,2)</f>
        <v>0</v>
      </c>
      <c r="G157" s="28">
        <f>단가대비표!V86</f>
        <v>220354</v>
      </c>
      <c r="H157" s="27">
        <f t="shared" ref="H157:H164" si="31">TRUNC(D157*G157,2)</f>
        <v>3525.66</v>
      </c>
      <c r="I157" s="28">
        <f>단가대비표!AE86</f>
        <v>0</v>
      </c>
      <c r="J157" s="27">
        <f t="shared" ref="J157:J164" si="32">TRUNC(D157*I157,2)</f>
        <v>0</v>
      </c>
      <c r="K157" s="27">
        <f t="shared" ref="K157:L164" si="33">E157+G157+I157</f>
        <v>220354</v>
      </c>
      <c r="L157" s="27">
        <f t="shared" si="33"/>
        <v>3525.66</v>
      </c>
      <c r="M157" s="29" t="s">
        <v>66</v>
      </c>
      <c r="N157" s="7" t="s">
        <v>976</v>
      </c>
      <c r="O157" s="14" t="s">
        <v>421</v>
      </c>
      <c r="P157" s="14" t="s">
        <v>823</v>
      </c>
      <c r="Q157" s="14" t="s">
        <v>823</v>
      </c>
      <c r="R157" s="14" t="s">
        <v>228</v>
      </c>
      <c r="S157" s="31">
        <v>10</v>
      </c>
      <c r="T157" s="14" t="s">
        <v>823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</row>
    <row r="158" spans="1:28" ht="29.1" customHeight="1" x14ac:dyDescent="0.3">
      <c r="A158" s="5" t="s">
        <v>526</v>
      </c>
      <c r="B158" s="29" t="s">
        <v>269</v>
      </c>
      <c r="C158" s="5" t="s">
        <v>656</v>
      </c>
      <c r="D158" s="10">
        <v>1.7999999999999999E-2</v>
      </c>
      <c r="E158" s="28">
        <f>단가대비표!U82</f>
        <v>0</v>
      </c>
      <c r="F158" s="27">
        <f t="shared" si="30"/>
        <v>0</v>
      </c>
      <c r="G158" s="28">
        <f>단가대비표!V82</f>
        <v>224490</v>
      </c>
      <c r="H158" s="27">
        <f t="shared" si="31"/>
        <v>4040.82</v>
      </c>
      <c r="I158" s="28">
        <f>단가대비표!AE82</f>
        <v>0</v>
      </c>
      <c r="J158" s="27">
        <f t="shared" si="32"/>
        <v>0</v>
      </c>
      <c r="K158" s="27">
        <f t="shared" si="33"/>
        <v>224490</v>
      </c>
      <c r="L158" s="27">
        <f t="shared" si="33"/>
        <v>4040.82</v>
      </c>
      <c r="M158" s="29" t="s">
        <v>758</v>
      </c>
      <c r="N158" s="7" t="s">
        <v>976</v>
      </c>
      <c r="O158" s="14" t="s">
        <v>1315</v>
      </c>
      <c r="P158" s="14" t="s">
        <v>823</v>
      </c>
      <c r="Q158" s="14" t="s">
        <v>823</v>
      </c>
      <c r="R158" s="14" t="s">
        <v>228</v>
      </c>
      <c r="S158" s="31">
        <v>20</v>
      </c>
      <c r="T158" s="14" t="s">
        <v>823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</row>
    <row r="159" spans="1:28" ht="29.1" customHeight="1" x14ac:dyDescent="0.3">
      <c r="A159" s="5" t="s">
        <v>1250</v>
      </c>
      <c r="B159" s="29" t="s">
        <v>269</v>
      </c>
      <c r="C159" s="5" t="s">
        <v>656</v>
      </c>
      <c r="D159" s="10">
        <v>1.0999999999999999E-2</v>
      </c>
      <c r="E159" s="28">
        <f>단가대비표!U81</f>
        <v>0</v>
      </c>
      <c r="F159" s="27">
        <f t="shared" si="30"/>
        <v>0</v>
      </c>
      <c r="G159" s="28">
        <f>단가대비표!V81</f>
        <v>171037</v>
      </c>
      <c r="H159" s="27">
        <f t="shared" si="31"/>
        <v>1881.4</v>
      </c>
      <c r="I159" s="28">
        <f>단가대비표!AE81</f>
        <v>0</v>
      </c>
      <c r="J159" s="27">
        <f t="shared" si="32"/>
        <v>0</v>
      </c>
      <c r="K159" s="27">
        <f t="shared" si="33"/>
        <v>171037</v>
      </c>
      <c r="L159" s="27">
        <f t="shared" si="33"/>
        <v>1881.4</v>
      </c>
      <c r="M159" s="29" t="s">
        <v>162</v>
      </c>
      <c r="N159" s="7" t="s">
        <v>976</v>
      </c>
      <c r="O159" s="14" t="s">
        <v>40</v>
      </c>
      <c r="P159" s="14" t="s">
        <v>823</v>
      </c>
      <c r="Q159" s="14" t="s">
        <v>823</v>
      </c>
      <c r="R159" s="14" t="s">
        <v>228</v>
      </c>
      <c r="S159" s="31">
        <v>30</v>
      </c>
      <c r="T159" s="14" t="s">
        <v>823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</row>
    <row r="160" spans="1:28" ht="29.1" customHeight="1" x14ac:dyDescent="0.3">
      <c r="A160" s="5" t="s">
        <v>589</v>
      </c>
      <c r="B160" s="29" t="s">
        <v>364</v>
      </c>
      <c r="C160" s="5" t="s">
        <v>1001</v>
      </c>
      <c r="D160" s="10">
        <v>6.7000000000000002E-5</v>
      </c>
      <c r="E160" s="28">
        <f>단가대비표!U59</f>
        <v>0</v>
      </c>
      <c r="F160" s="27">
        <f t="shared" si="30"/>
        <v>0</v>
      </c>
      <c r="G160" s="28">
        <f>단가대비표!V59</f>
        <v>0</v>
      </c>
      <c r="H160" s="27">
        <f t="shared" si="31"/>
        <v>0</v>
      </c>
      <c r="I160" s="28">
        <f>단가대비표!AE59</f>
        <v>2760000</v>
      </c>
      <c r="J160" s="27">
        <f t="shared" si="32"/>
        <v>184.92</v>
      </c>
      <c r="K160" s="27">
        <f t="shared" si="33"/>
        <v>2760000</v>
      </c>
      <c r="L160" s="27">
        <f t="shared" si="33"/>
        <v>184.92</v>
      </c>
      <c r="M160" s="29" t="s">
        <v>327</v>
      </c>
      <c r="N160" s="7" t="s">
        <v>976</v>
      </c>
      <c r="O160" s="14" t="s">
        <v>694</v>
      </c>
      <c r="P160" s="14" t="s">
        <v>823</v>
      </c>
      <c r="Q160" s="14" t="s">
        <v>823</v>
      </c>
      <c r="R160" s="14" t="s">
        <v>228</v>
      </c>
      <c r="S160" s="31">
        <v>40</v>
      </c>
      <c r="T160" s="14" t="s">
        <v>823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</row>
    <row r="161" spans="1:28" ht="29.1" customHeight="1" x14ac:dyDescent="0.3">
      <c r="A161" s="5" t="s">
        <v>430</v>
      </c>
      <c r="B161" s="29" t="s">
        <v>127</v>
      </c>
      <c r="C161" s="5" t="s">
        <v>1086</v>
      </c>
      <c r="D161" s="10">
        <v>2.5000000000000001E-3</v>
      </c>
      <c r="E161" s="28">
        <f>단가대비표!U62</f>
        <v>165000</v>
      </c>
      <c r="F161" s="27">
        <f t="shared" si="30"/>
        <v>412.5</v>
      </c>
      <c r="G161" s="28">
        <f>단가대비표!V62</f>
        <v>0</v>
      </c>
      <c r="H161" s="27">
        <f t="shared" si="31"/>
        <v>0</v>
      </c>
      <c r="I161" s="28">
        <f>단가대비표!AE62</f>
        <v>0</v>
      </c>
      <c r="J161" s="27">
        <f t="shared" si="32"/>
        <v>0</v>
      </c>
      <c r="K161" s="27">
        <f t="shared" si="33"/>
        <v>165000</v>
      </c>
      <c r="L161" s="27">
        <f t="shared" si="33"/>
        <v>412.5</v>
      </c>
      <c r="M161" s="29" t="s">
        <v>1063</v>
      </c>
      <c r="N161" s="7" t="s">
        <v>976</v>
      </c>
      <c r="O161" s="14" t="s">
        <v>772</v>
      </c>
      <c r="P161" s="14" t="s">
        <v>823</v>
      </c>
      <c r="Q161" s="14" t="s">
        <v>823</v>
      </c>
      <c r="R161" s="14" t="s">
        <v>228</v>
      </c>
      <c r="S161" s="31">
        <v>50</v>
      </c>
      <c r="T161" s="14" t="s">
        <v>823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</row>
    <row r="162" spans="1:28" ht="29.1" customHeight="1" x14ac:dyDescent="0.3">
      <c r="A162" s="5" t="s">
        <v>602</v>
      </c>
      <c r="B162" s="29" t="s">
        <v>1059</v>
      </c>
      <c r="C162" s="5" t="s">
        <v>105</v>
      </c>
      <c r="D162" s="10">
        <v>13.1</v>
      </c>
      <c r="E162" s="28">
        <f>단가대비표!U58</f>
        <v>0</v>
      </c>
      <c r="F162" s="27">
        <f t="shared" si="30"/>
        <v>0</v>
      </c>
      <c r="G162" s="28">
        <f>단가대비표!V58</f>
        <v>0</v>
      </c>
      <c r="H162" s="27">
        <f t="shared" si="31"/>
        <v>0</v>
      </c>
      <c r="I162" s="28">
        <f>단가대비표!AE58</f>
        <v>0</v>
      </c>
      <c r="J162" s="27">
        <f t="shared" si="32"/>
        <v>0</v>
      </c>
      <c r="K162" s="27">
        <f t="shared" si="33"/>
        <v>0</v>
      </c>
      <c r="L162" s="27">
        <f t="shared" si="33"/>
        <v>0</v>
      </c>
      <c r="M162" s="29" t="s">
        <v>1236</v>
      </c>
      <c r="N162" s="7" t="s">
        <v>976</v>
      </c>
      <c r="O162" s="14" t="s">
        <v>1125</v>
      </c>
      <c r="P162" s="14" t="s">
        <v>823</v>
      </c>
      <c r="Q162" s="14" t="s">
        <v>823</v>
      </c>
      <c r="R162" s="14" t="s">
        <v>228</v>
      </c>
      <c r="S162" s="31">
        <v>60</v>
      </c>
      <c r="T162" s="14" t="s">
        <v>823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</row>
    <row r="163" spans="1:28" ht="29.1" customHeight="1" x14ac:dyDescent="0.3">
      <c r="A163" s="5" t="s">
        <v>877</v>
      </c>
      <c r="B163" s="29" t="s">
        <v>507</v>
      </c>
      <c r="C163" s="5" t="s">
        <v>757</v>
      </c>
      <c r="D163" s="10">
        <v>7.8999999999999996E-5</v>
      </c>
      <c r="E163" s="28">
        <f>단가대비표!U60</f>
        <v>0</v>
      </c>
      <c r="F163" s="27">
        <f t="shared" si="30"/>
        <v>0</v>
      </c>
      <c r="G163" s="28">
        <f>단가대비표!V60</f>
        <v>0</v>
      </c>
      <c r="H163" s="27">
        <f t="shared" si="31"/>
        <v>0</v>
      </c>
      <c r="I163" s="28">
        <f>단가대비표!AE60</f>
        <v>124000</v>
      </c>
      <c r="J163" s="27">
        <f t="shared" si="32"/>
        <v>9.7899999999999991</v>
      </c>
      <c r="K163" s="27">
        <f t="shared" si="33"/>
        <v>124000</v>
      </c>
      <c r="L163" s="27">
        <f t="shared" si="33"/>
        <v>9.7899999999999991</v>
      </c>
      <c r="M163" s="29" t="s">
        <v>14</v>
      </c>
      <c r="N163" s="7" t="s">
        <v>976</v>
      </c>
      <c r="O163" s="14" t="s">
        <v>445</v>
      </c>
      <c r="P163" s="14" t="s">
        <v>823</v>
      </c>
      <c r="Q163" s="14" t="s">
        <v>823</v>
      </c>
      <c r="R163" s="14" t="s">
        <v>228</v>
      </c>
      <c r="S163" s="31">
        <v>70</v>
      </c>
      <c r="T163" s="14" t="s">
        <v>823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</row>
    <row r="164" spans="1:28" ht="29.1" customHeight="1" x14ac:dyDescent="0.3">
      <c r="A164" s="5" t="s">
        <v>939</v>
      </c>
      <c r="B164" s="29" t="s">
        <v>208</v>
      </c>
      <c r="C164" s="5" t="s">
        <v>1086</v>
      </c>
      <c r="D164" s="10">
        <v>1</v>
      </c>
      <c r="E164" s="28">
        <f>단가대비표!U61</f>
        <v>2700</v>
      </c>
      <c r="F164" s="27">
        <f t="shared" si="30"/>
        <v>2700</v>
      </c>
      <c r="G164" s="28">
        <f>단가대비표!V61</f>
        <v>0</v>
      </c>
      <c r="H164" s="27">
        <f t="shared" si="31"/>
        <v>0</v>
      </c>
      <c r="I164" s="28">
        <f>단가대비표!AE61</f>
        <v>0</v>
      </c>
      <c r="J164" s="27">
        <f t="shared" si="32"/>
        <v>0</v>
      </c>
      <c r="K164" s="27">
        <f t="shared" si="33"/>
        <v>2700</v>
      </c>
      <c r="L164" s="27">
        <f t="shared" si="33"/>
        <v>2700</v>
      </c>
      <c r="M164" s="29" t="s">
        <v>272</v>
      </c>
      <c r="N164" s="7" t="s">
        <v>976</v>
      </c>
      <c r="O164" s="14" t="s">
        <v>166</v>
      </c>
      <c r="P164" s="14" t="s">
        <v>823</v>
      </c>
      <c r="Q164" s="14" t="s">
        <v>823</v>
      </c>
      <c r="R164" s="14" t="s">
        <v>228</v>
      </c>
      <c r="S164" s="31">
        <v>80</v>
      </c>
      <c r="T164" s="14" t="s">
        <v>823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</row>
    <row r="165" spans="1:28" ht="29.1" customHeight="1" x14ac:dyDescent="0.3">
      <c r="A165" s="5" t="s">
        <v>621</v>
      </c>
      <c r="B165" s="5" t="s">
        <v>823</v>
      </c>
      <c r="C165" s="5" t="s">
        <v>823</v>
      </c>
      <c r="D165" s="5" t="s">
        <v>823</v>
      </c>
      <c r="E165" s="28">
        <v>0</v>
      </c>
      <c r="F165" s="28">
        <f>TRUNC(SUMIF(R157:R164, " ", F157:F164),0)</f>
        <v>3112</v>
      </c>
      <c r="G165" s="28">
        <v>0</v>
      </c>
      <c r="H165" s="28">
        <f>TRUNC(SUMIF(R157:R164, " ", H157:H164),0)</f>
        <v>9447</v>
      </c>
      <c r="I165" s="28">
        <v>0</v>
      </c>
      <c r="J165" s="27">
        <f>TRUNC(SUMIF(R157:R164, " ", J157:J164),0)</f>
        <v>194</v>
      </c>
      <c r="K165" s="20" t="s">
        <v>823</v>
      </c>
      <c r="L165" s="28">
        <f>F165+H165+J165</f>
        <v>12753</v>
      </c>
      <c r="M165" s="29"/>
      <c r="N165" s="24" t="s">
        <v>747</v>
      </c>
      <c r="O165" s="4" t="s">
        <v>747</v>
      </c>
    </row>
    <row r="166" spans="1:28" ht="29.1" customHeight="1" x14ac:dyDescent="0.3">
      <c r="A166" s="5" t="s">
        <v>823</v>
      </c>
      <c r="B166" s="5" t="s">
        <v>823</v>
      </c>
      <c r="C166" s="5" t="s">
        <v>823</v>
      </c>
      <c r="D166" s="5" t="s">
        <v>823</v>
      </c>
      <c r="E166" s="5" t="s">
        <v>823</v>
      </c>
      <c r="F166" s="5" t="s">
        <v>823</v>
      </c>
      <c r="G166" s="5" t="s">
        <v>823</v>
      </c>
      <c r="H166" s="5" t="s">
        <v>823</v>
      </c>
      <c r="I166" s="5" t="s">
        <v>823</v>
      </c>
      <c r="J166" s="5" t="s">
        <v>823</v>
      </c>
      <c r="K166" s="5" t="s">
        <v>823</v>
      </c>
      <c r="L166" s="5" t="s">
        <v>823</v>
      </c>
      <c r="M166" s="5" t="s">
        <v>823</v>
      </c>
    </row>
    <row r="167" spans="1:28" ht="29.1" customHeight="1" x14ac:dyDescent="0.3">
      <c r="A167" s="48" t="s">
        <v>1150</v>
      </c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7" t="s">
        <v>1107</v>
      </c>
    </row>
    <row r="168" spans="1:28" ht="29.1" customHeight="1" x14ac:dyDescent="0.3">
      <c r="A168" s="5" t="s">
        <v>1012</v>
      </c>
      <c r="B168" s="29" t="s">
        <v>1019</v>
      </c>
      <c r="C168" s="5" t="s">
        <v>1308</v>
      </c>
      <c r="D168" s="10">
        <v>1.32</v>
      </c>
      <c r="E168" s="28">
        <f>단가대비표!U14</f>
        <v>2358</v>
      </c>
      <c r="F168" s="27">
        <f>TRUNC(D168*E168,2)</f>
        <v>3112.56</v>
      </c>
      <c r="G168" s="28">
        <f>단가대비표!V14</f>
        <v>0</v>
      </c>
      <c r="H168" s="27">
        <f>TRUNC(D168*G168,2)</f>
        <v>0</v>
      </c>
      <c r="I168" s="28">
        <f>단가대비표!AE14</f>
        <v>0</v>
      </c>
      <c r="J168" s="27">
        <f>TRUNC(D168*I168,2)</f>
        <v>0</v>
      </c>
      <c r="K168" s="27">
        <f t="shared" ref="K168:L170" si="34">E168+G168+I168</f>
        <v>2358</v>
      </c>
      <c r="L168" s="27">
        <f t="shared" si="34"/>
        <v>3112.56</v>
      </c>
      <c r="M168" s="29" t="s">
        <v>1185</v>
      </c>
      <c r="N168" s="7" t="s">
        <v>1107</v>
      </c>
      <c r="O168" s="14" t="s">
        <v>811</v>
      </c>
      <c r="P168" s="14" t="s">
        <v>823</v>
      </c>
      <c r="Q168" s="14" t="s">
        <v>823</v>
      </c>
      <c r="R168" s="14" t="s">
        <v>228</v>
      </c>
      <c r="S168" s="31">
        <v>10</v>
      </c>
      <c r="T168" s="14" t="s">
        <v>728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</row>
    <row r="169" spans="1:28" ht="29.1" customHeight="1" x14ac:dyDescent="0.3">
      <c r="A169" s="5" t="s">
        <v>1045</v>
      </c>
      <c r="B169" s="29" t="s">
        <v>48</v>
      </c>
      <c r="C169" s="5" t="s">
        <v>1224</v>
      </c>
      <c r="D169" s="10">
        <v>0.03</v>
      </c>
      <c r="E169" s="28">
        <f>단가대비표!U56</f>
        <v>1460</v>
      </c>
      <c r="F169" s="27">
        <f>TRUNC(D169*E169,2)</f>
        <v>43.8</v>
      </c>
      <c r="G169" s="28">
        <f>단가대비표!V56</f>
        <v>0</v>
      </c>
      <c r="H169" s="27">
        <f>TRUNC(D169*G169,2)</f>
        <v>0</v>
      </c>
      <c r="I169" s="28">
        <f>단가대비표!AE56</f>
        <v>0</v>
      </c>
      <c r="J169" s="27">
        <f>TRUNC(D169*I169,2)</f>
        <v>0</v>
      </c>
      <c r="K169" s="27">
        <f t="shared" si="34"/>
        <v>1460</v>
      </c>
      <c r="L169" s="27">
        <f t="shared" si="34"/>
        <v>43.8</v>
      </c>
      <c r="M169" s="29" t="s">
        <v>716</v>
      </c>
      <c r="N169" s="7" t="s">
        <v>1107</v>
      </c>
      <c r="O169" s="14" t="s">
        <v>1231</v>
      </c>
      <c r="P169" s="14" t="s">
        <v>823</v>
      </c>
      <c r="Q169" s="14" t="s">
        <v>823</v>
      </c>
      <c r="R169" s="14" t="s">
        <v>228</v>
      </c>
      <c r="S169" s="31">
        <v>15</v>
      </c>
      <c r="T169" s="14" t="s">
        <v>49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</row>
    <row r="170" spans="1:28" ht="29.1" customHeight="1" x14ac:dyDescent="0.3">
      <c r="A170" s="5" t="s">
        <v>622</v>
      </c>
      <c r="B170" s="29" t="s">
        <v>1207</v>
      </c>
      <c r="C170" s="5" t="s">
        <v>1004</v>
      </c>
      <c r="D170" s="10">
        <v>1</v>
      </c>
      <c r="E170" s="28">
        <f>일위대가목록!E43</f>
        <v>197</v>
      </c>
      <c r="F170" s="27">
        <f>TRUNC(D170*E170,2)</f>
        <v>197</v>
      </c>
      <c r="G170" s="28">
        <f>일위대가목록!F43</f>
        <v>9866</v>
      </c>
      <c r="H170" s="27">
        <f>TRUNC(D170*G170,2)</f>
        <v>9866</v>
      </c>
      <c r="I170" s="28">
        <f>일위대가목록!G43</f>
        <v>0</v>
      </c>
      <c r="J170" s="27">
        <f>TRUNC(D170*I170,2)</f>
        <v>0</v>
      </c>
      <c r="K170" s="27">
        <f t="shared" si="34"/>
        <v>10063</v>
      </c>
      <c r="L170" s="27">
        <f t="shared" si="34"/>
        <v>10063</v>
      </c>
      <c r="M170" s="29" t="s">
        <v>212</v>
      </c>
      <c r="N170" s="7" t="s">
        <v>1107</v>
      </c>
      <c r="O170" s="14" t="s">
        <v>645</v>
      </c>
      <c r="P170" s="14" t="s">
        <v>823</v>
      </c>
      <c r="Q170" s="14" t="s">
        <v>823</v>
      </c>
      <c r="R170" s="14" t="s">
        <v>228</v>
      </c>
      <c r="S170" s="31">
        <v>20</v>
      </c>
      <c r="T170" s="14" t="s">
        <v>823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</row>
    <row r="171" spans="1:28" ht="29.1" customHeight="1" x14ac:dyDescent="0.3">
      <c r="A171" s="5" t="s">
        <v>621</v>
      </c>
      <c r="B171" s="5" t="s">
        <v>823</v>
      </c>
      <c r="C171" s="5" t="s">
        <v>823</v>
      </c>
      <c r="D171" s="5" t="s">
        <v>823</v>
      </c>
      <c r="E171" s="28">
        <v>0</v>
      </c>
      <c r="F171" s="28">
        <f>TRUNC(SUMIF(R168:R170, " ", F168:F170),0)</f>
        <v>3353</v>
      </c>
      <c r="G171" s="28">
        <v>0</v>
      </c>
      <c r="H171" s="28">
        <f>TRUNC(SUMIF(R168:R170, " ", H168:H170),0)</f>
        <v>9866</v>
      </c>
      <c r="I171" s="28">
        <v>0</v>
      </c>
      <c r="J171" s="27">
        <f>TRUNC(SUMIF(R168:R170, " ", J168:J170),0)</f>
        <v>0</v>
      </c>
      <c r="K171" s="20" t="s">
        <v>823</v>
      </c>
      <c r="L171" s="28">
        <f>F171+H171+J171</f>
        <v>13219</v>
      </c>
      <c r="M171" s="29"/>
      <c r="N171" s="24" t="s">
        <v>747</v>
      </c>
      <c r="O171" s="4" t="s">
        <v>747</v>
      </c>
    </row>
    <row r="172" spans="1:28" ht="29.1" customHeight="1" x14ac:dyDescent="0.3">
      <c r="A172" s="5" t="s">
        <v>823</v>
      </c>
      <c r="B172" s="5" t="s">
        <v>823</v>
      </c>
      <c r="C172" s="5" t="s">
        <v>823</v>
      </c>
      <c r="D172" s="5" t="s">
        <v>823</v>
      </c>
      <c r="E172" s="5" t="s">
        <v>823</v>
      </c>
      <c r="F172" s="5" t="s">
        <v>823</v>
      </c>
      <c r="G172" s="5" t="s">
        <v>823</v>
      </c>
      <c r="H172" s="5" t="s">
        <v>823</v>
      </c>
      <c r="I172" s="5" t="s">
        <v>823</v>
      </c>
      <c r="J172" s="5" t="s">
        <v>823</v>
      </c>
      <c r="K172" s="5" t="s">
        <v>823</v>
      </c>
      <c r="L172" s="5" t="s">
        <v>823</v>
      </c>
      <c r="M172" s="5" t="s">
        <v>823</v>
      </c>
    </row>
    <row r="173" spans="1:28" ht="29.1" customHeight="1" x14ac:dyDescent="0.3">
      <c r="A173" s="48" t="s">
        <v>230</v>
      </c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7" t="s">
        <v>189</v>
      </c>
    </row>
    <row r="174" spans="1:28" ht="29.1" customHeight="1" x14ac:dyDescent="0.3">
      <c r="A174" s="5" t="s">
        <v>1012</v>
      </c>
      <c r="B174" s="29" t="s">
        <v>1019</v>
      </c>
      <c r="C174" s="5" t="s">
        <v>1308</v>
      </c>
      <c r="D174" s="10">
        <v>1.32</v>
      </c>
      <c r="E174" s="28">
        <f>단가대비표!U14</f>
        <v>2358</v>
      </c>
      <c r="F174" s="27">
        <f t="shared" ref="F174:F179" si="35">TRUNC(D174*E174,2)</f>
        <v>3112.56</v>
      </c>
      <c r="G174" s="28">
        <f>단가대비표!V14</f>
        <v>0</v>
      </c>
      <c r="H174" s="27">
        <f t="shared" ref="H174:H179" si="36">TRUNC(D174*G174,2)</f>
        <v>0</v>
      </c>
      <c r="I174" s="28">
        <f>단가대비표!AE14</f>
        <v>0</v>
      </c>
      <c r="J174" s="27">
        <f t="shared" ref="J174:J179" si="37">TRUNC(D174*I174,2)</f>
        <v>0</v>
      </c>
      <c r="K174" s="27">
        <f t="shared" ref="K174:L179" si="38">E174+G174+I174</f>
        <v>2358</v>
      </c>
      <c r="L174" s="27">
        <f t="shared" si="38"/>
        <v>3112.56</v>
      </c>
      <c r="M174" s="29" t="s">
        <v>1185</v>
      </c>
      <c r="N174" s="7" t="s">
        <v>189</v>
      </c>
      <c r="O174" s="14" t="s">
        <v>811</v>
      </c>
      <c r="P174" s="14" t="s">
        <v>823</v>
      </c>
      <c r="Q174" s="14" t="s">
        <v>823</v>
      </c>
      <c r="R174" s="14" t="s">
        <v>228</v>
      </c>
      <c r="S174" s="31">
        <v>10</v>
      </c>
      <c r="T174" s="14" t="s">
        <v>728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</row>
    <row r="175" spans="1:28" ht="29.1" customHeight="1" x14ac:dyDescent="0.3">
      <c r="A175" s="5" t="s">
        <v>1012</v>
      </c>
      <c r="B175" s="29" t="s">
        <v>1019</v>
      </c>
      <c r="C175" s="5" t="s">
        <v>1308</v>
      </c>
      <c r="D175" s="10">
        <v>1.32</v>
      </c>
      <c r="E175" s="28">
        <f>단가대비표!U14</f>
        <v>2358</v>
      </c>
      <c r="F175" s="27">
        <f t="shared" si="35"/>
        <v>3112.56</v>
      </c>
      <c r="G175" s="28">
        <f>단가대비표!V14</f>
        <v>0</v>
      </c>
      <c r="H175" s="27">
        <f t="shared" si="36"/>
        <v>0</v>
      </c>
      <c r="I175" s="28">
        <f>단가대비표!AE14</f>
        <v>0</v>
      </c>
      <c r="J175" s="27">
        <f t="shared" si="37"/>
        <v>0</v>
      </c>
      <c r="K175" s="27">
        <f t="shared" si="38"/>
        <v>2358</v>
      </c>
      <c r="L175" s="27">
        <f t="shared" si="38"/>
        <v>3112.56</v>
      </c>
      <c r="M175" s="29" t="s">
        <v>1185</v>
      </c>
      <c r="N175" s="7" t="s">
        <v>189</v>
      </c>
      <c r="O175" s="14" t="s">
        <v>811</v>
      </c>
      <c r="P175" s="14" t="s">
        <v>823</v>
      </c>
      <c r="Q175" s="14" t="s">
        <v>823</v>
      </c>
      <c r="R175" s="14" t="s">
        <v>228</v>
      </c>
      <c r="S175" s="31">
        <v>20</v>
      </c>
      <c r="T175" s="14" t="s">
        <v>728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</row>
    <row r="176" spans="1:28" ht="29.1" customHeight="1" x14ac:dyDescent="0.3">
      <c r="A176" s="5" t="s">
        <v>1012</v>
      </c>
      <c r="B176" s="29" t="s">
        <v>1019</v>
      </c>
      <c r="C176" s="5" t="s">
        <v>1308</v>
      </c>
      <c r="D176" s="10">
        <v>0.58660000000000001</v>
      </c>
      <c r="E176" s="28">
        <f>단가대비표!U14</f>
        <v>2358</v>
      </c>
      <c r="F176" s="27">
        <f t="shared" si="35"/>
        <v>1383.2</v>
      </c>
      <c r="G176" s="28">
        <f>단가대비표!V14</f>
        <v>0</v>
      </c>
      <c r="H176" s="27">
        <f t="shared" si="36"/>
        <v>0</v>
      </c>
      <c r="I176" s="28">
        <f>단가대비표!AE14</f>
        <v>0</v>
      </c>
      <c r="J176" s="27">
        <f t="shared" si="37"/>
        <v>0</v>
      </c>
      <c r="K176" s="27">
        <f t="shared" si="38"/>
        <v>2358</v>
      </c>
      <c r="L176" s="27">
        <f t="shared" si="38"/>
        <v>1383.2</v>
      </c>
      <c r="M176" s="29" t="s">
        <v>1185</v>
      </c>
      <c r="N176" s="7" t="s">
        <v>189</v>
      </c>
      <c r="O176" s="14" t="s">
        <v>811</v>
      </c>
      <c r="P176" s="14" t="s">
        <v>823</v>
      </c>
      <c r="Q176" s="14" t="s">
        <v>823</v>
      </c>
      <c r="R176" s="14" t="s">
        <v>228</v>
      </c>
      <c r="S176" s="31">
        <v>30</v>
      </c>
      <c r="T176" s="14" t="s">
        <v>970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</row>
    <row r="177" spans="1:28" ht="29.1" customHeight="1" x14ac:dyDescent="0.3">
      <c r="A177" s="5" t="s">
        <v>1045</v>
      </c>
      <c r="B177" s="29" t="s">
        <v>48</v>
      </c>
      <c r="C177" s="5" t="s">
        <v>1224</v>
      </c>
      <c r="D177" s="10">
        <v>0.03</v>
      </c>
      <c r="E177" s="28">
        <f>단가대비표!U56</f>
        <v>1460</v>
      </c>
      <c r="F177" s="27">
        <f t="shared" si="35"/>
        <v>43.8</v>
      </c>
      <c r="G177" s="28">
        <f>단가대비표!V56</f>
        <v>0</v>
      </c>
      <c r="H177" s="27">
        <f t="shared" si="36"/>
        <v>0</v>
      </c>
      <c r="I177" s="28">
        <f>단가대비표!AE56</f>
        <v>0</v>
      </c>
      <c r="J177" s="27">
        <f t="shared" si="37"/>
        <v>0</v>
      </c>
      <c r="K177" s="27">
        <f t="shared" si="38"/>
        <v>1460</v>
      </c>
      <c r="L177" s="27">
        <f t="shared" si="38"/>
        <v>43.8</v>
      </c>
      <c r="M177" s="29" t="s">
        <v>716</v>
      </c>
      <c r="N177" s="7" t="s">
        <v>189</v>
      </c>
      <c r="O177" s="14" t="s">
        <v>1231</v>
      </c>
      <c r="P177" s="14" t="s">
        <v>823</v>
      </c>
      <c r="Q177" s="14" t="s">
        <v>823</v>
      </c>
      <c r="R177" s="14" t="s">
        <v>228</v>
      </c>
      <c r="S177" s="31">
        <v>40</v>
      </c>
      <c r="T177" s="14" t="s">
        <v>49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</row>
    <row r="178" spans="1:28" ht="29.1" customHeight="1" x14ac:dyDescent="0.3">
      <c r="A178" s="5" t="s">
        <v>622</v>
      </c>
      <c r="B178" s="29" t="s">
        <v>1207</v>
      </c>
      <c r="C178" s="5" t="s">
        <v>1004</v>
      </c>
      <c r="D178" s="10">
        <v>1</v>
      </c>
      <c r="E178" s="28">
        <f>일위대가목록!E43</f>
        <v>197</v>
      </c>
      <c r="F178" s="27">
        <f t="shared" si="35"/>
        <v>197</v>
      </c>
      <c r="G178" s="28">
        <f>일위대가목록!F43</f>
        <v>9866</v>
      </c>
      <c r="H178" s="27">
        <f t="shared" si="36"/>
        <v>9866</v>
      </c>
      <c r="I178" s="28">
        <f>일위대가목록!G43</f>
        <v>0</v>
      </c>
      <c r="J178" s="27">
        <f t="shared" si="37"/>
        <v>0</v>
      </c>
      <c r="K178" s="27">
        <f t="shared" si="38"/>
        <v>10063</v>
      </c>
      <c r="L178" s="27">
        <f t="shared" si="38"/>
        <v>10063</v>
      </c>
      <c r="M178" s="29" t="s">
        <v>212</v>
      </c>
      <c r="N178" s="7" t="s">
        <v>189</v>
      </c>
      <c r="O178" s="14" t="s">
        <v>645</v>
      </c>
      <c r="P178" s="14" t="s">
        <v>823</v>
      </c>
      <c r="Q178" s="14" t="s">
        <v>823</v>
      </c>
      <c r="R178" s="14" t="s">
        <v>228</v>
      </c>
      <c r="S178" s="31">
        <v>50</v>
      </c>
      <c r="T178" s="14" t="s">
        <v>823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</row>
    <row r="179" spans="1:28" ht="29.1" customHeight="1" x14ac:dyDescent="0.3">
      <c r="A179" s="5" t="s">
        <v>622</v>
      </c>
      <c r="B179" s="29" t="s">
        <v>1207</v>
      </c>
      <c r="C179" s="5" t="s">
        <v>1004</v>
      </c>
      <c r="D179" s="10">
        <v>1</v>
      </c>
      <c r="E179" s="28">
        <f>일위대가목록!E43</f>
        <v>197</v>
      </c>
      <c r="F179" s="27">
        <f t="shared" si="35"/>
        <v>197</v>
      </c>
      <c r="G179" s="28">
        <f>일위대가목록!F43</f>
        <v>9866</v>
      </c>
      <c r="H179" s="27">
        <f t="shared" si="36"/>
        <v>9866</v>
      </c>
      <c r="I179" s="28">
        <f>일위대가목록!G43</f>
        <v>0</v>
      </c>
      <c r="J179" s="27">
        <f t="shared" si="37"/>
        <v>0</v>
      </c>
      <c r="K179" s="27">
        <f t="shared" si="38"/>
        <v>10063</v>
      </c>
      <c r="L179" s="27">
        <f t="shared" si="38"/>
        <v>10063</v>
      </c>
      <c r="M179" s="29" t="s">
        <v>212</v>
      </c>
      <c r="N179" s="7" t="s">
        <v>189</v>
      </c>
      <c r="O179" s="14" t="s">
        <v>645</v>
      </c>
      <c r="P179" s="14" t="s">
        <v>823</v>
      </c>
      <c r="Q179" s="14" t="s">
        <v>823</v>
      </c>
      <c r="R179" s="14" t="s">
        <v>228</v>
      </c>
      <c r="S179" s="31">
        <v>60</v>
      </c>
      <c r="T179" s="14" t="s">
        <v>823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</row>
    <row r="180" spans="1:28" ht="29.1" customHeight="1" x14ac:dyDescent="0.3">
      <c r="A180" s="5" t="s">
        <v>621</v>
      </c>
      <c r="B180" s="5" t="s">
        <v>823</v>
      </c>
      <c r="C180" s="5" t="s">
        <v>823</v>
      </c>
      <c r="D180" s="5" t="s">
        <v>823</v>
      </c>
      <c r="E180" s="28">
        <v>0</v>
      </c>
      <c r="F180" s="28">
        <f>TRUNC(SUMIF(R174:R179, " ", F174:F179),0)</f>
        <v>8046</v>
      </c>
      <c r="G180" s="28">
        <v>0</v>
      </c>
      <c r="H180" s="28">
        <f>TRUNC(SUMIF(R174:R179, " ", H174:H179),0)</f>
        <v>19732</v>
      </c>
      <c r="I180" s="28">
        <v>0</v>
      </c>
      <c r="J180" s="27">
        <f>TRUNC(SUMIF(R174:R179, " ", J174:J179),0)</f>
        <v>0</v>
      </c>
      <c r="K180" s="20" t="s">
        <v>823</v>
      </c>
      <c r="L180" s="28">
        <f>F180+H180+J180</f>
        <v>27778</v>
      </c>
      <c r="M180" s="29"/>
      <c r="N180" s="24" t="s">
        <v>747</v>
      </c>
      <c r="O180" s="4" t="s">
        <v>747</v>
      </c>
    </row>
    <row r="181" spans="1:28" ht="29.1" customHeight="1" x14ac:dyDescent="0.3">
      <c r="A181" s="5" t="s">
        <v>823</v>
      </c>
      <c r="B181" s="5" t="s">
        <v>823</v>
      </c>
      <c r="C181" s="5" t="s">
        <v>823</v>
      </c>
      <c r="D181" s="5" t="s">
        <v>823</v>
      </c>
      <c r="E181" s="5" t="s">
        <v>823</v>
      </c>
      <c r="F181" s="5" t="s">
        <v>823</v>
      </c>
      <c r="G181" s="5" t="s">
        <v>823</v>
      </c>
      <c r="H181" s="5" t="s">
        <v>823</v>
      </c>
      <c r="I181" s="5" t="s">
        <v>823</v>
      </c>
      <c r="J181" s="5" t="s">
        <v>823</v>
      </c>
      <c r="K181" s="5" t="s">
        <v>823</v>
      </c>
      <c r="L181" s="5" t="s">
        <v>823</v>
      </c>
      <c r="M181" s="5" t="s">
        <v>823</v>
      </c>
    </row>
    <row r="182" spans="1:28" ht="29.1" customHeight="1" x14ac:dyDescent="0.3">
      <c r="A182" s="48" t="s">
        <v>665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7" t="s">
        <v>394</v>
      </c>
    </row>
    <row r="183" spans="1:28" ht="29.1" customHeight="1" x14ac:dyDescent="0.3">
      <c r="A183" s="5" t="s">
        <v>1123</v>
      </c>
      <c r="B183" s="29" t="s">
        <v>103</v>
      </c>
      <c r="C183" s="5" t="s">
        <v>1187</v>
      </c>
      <c r="D183" s="10">
        <v>0.875</v>
      </c>
      <c r="E183" s="28">
        <f>단가대비표!U69</f>
        <v>3340</v>
      </c>
      <c r="F183" s="27">
        <f t="shared" ref="F183:F189" si="39">TRUNC(D183*E183,2)</f>
        <v>2922.5</v>
      </c>
      <c r="G183" s="28">
        <f>단가대비표!V69</f>
        <v>0</v>
      </c>
      <c r="H183" s="27">
        <f t="shared" ref="H183:H189" si="40">TRUNC(D183*G183,2)</f>
        <v>0</v>
      </c>
      <c r="I183" s="28">
        <f>단가대비표!AE69</f>
        <v>0</v>
      </c>
      <c r="J183" s="27">
        <f t="shared" ref="J183:J189" si="41">TRUNC(D183*I183,2)</f>
        <v>0</v>
      </c>
      <c r="K183" s="27">
        <f t="shared" ref="K183:L189" si="42">E183+G183+I183</f>
        <v>3340</v>
      </c>
      <c r="L183" s="27">
        <f t="shared" si="42"/>
        <v>2922.5</v>
      </c>
      <c r="M183" s="29" t="s">
        <v>995</v>
      </c>
      <c r="N183" s="7" t="s">
        <v>394</v>
      </c>
      <c r="O183" s="14" t="s">
        <v>1159</v>
      </c>
      <c r="P183" s="14" t="s">
        <v>823</v>
      </c>
      <c r="Q183" s="14" t="s">
        <v>823</v>
      </c>
      <c r="R183" s="14" t="s">
        <v>228</v>
      </c>
      <c r="S183" s="31">
        <v>10</v>
      </c>
      <c r="T183" s="14" t="s">
        <v>823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</row>
    <row r="184" spans="1:28" ht="29.1" customHeight="1" x14ac:dyDescent="0.3">
      <c r="A184" s="5" t="s">
        <v>24</v>
      </c>
      <c r="B184" s="29" t="s">
        <v>953</v>
      </c>
      <c r="C184" s="5" t="s">
        <v>1187</v>
      </c>
      <c r="D184" s="10">
        <v>2.33</v>
      </c>
      <c r="E184" s="28">
        <f>단가대비표!U70</f>
        <v>1950</v>
      </c>
      <c r="F184" s="27">
        <f t="shared" si="39"/>
        <v>4543.5</v>
      </c>
      <c r="G184" s="28">
        <f>단가대비표!V70</f>
        <v>0</v>
      </c>
      <c r="H184" s="27">
        <f t="shared" si="40"/>
        <v>0</v>
      </c>
      <c r="I184" s="28">
        <f>단가대비표!AE70</f>
        <v>0</v>
      </c>
      <c r="J184" s="27">
        <f t="shared" si="41"/>
        <v>0</v>
      </c>
      <c r="K184" s="27">
        <f t="shared" si="42"/>
        <v>1950</v>
      </c>
      <c r="L184" s="27">
        <f t="shared" si="42"/>
        <v>4543.5</v>
      </c>
      <c r="M184" s="29" t="s">
        <v>1205</v>
      </c>
      <c r="N184" s="7" t="s">
        <v>394</v>
      </c>
      <c r="O184" s="14" t="s">
        <v>648</v>
      </c>
      <c r="P184" s="14" t="s">
        <v>823</v>
      </c>
      <c r="Q184" s="14" t="s">
        <v>823</v>
      </c>
      <c r="R184" s="14" t="s">
        <v>228</v>
      </c>
      <c r="S184" s="31">
        <v>20</v>
      </c>
      <c r="T184" s="14" t="s">
        <v>1257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</row>
    <row r="185" spans="1:28" ht="29.1" customHeight="1" x14ac:dyDescent="0.3">
      <c r="A185" s="5" t="s">
        <v>617</v>
      </c>
      <c r="B185" s="29" t="s">
        <v>889</v>
      </c>
      <c r="C185" s="5" t="s">
        <v>1224</v>
      </c>
      <c r="D185" s="10">
        <v>0.16</v>
      </c>
      <c r="E185" s="28">
        <f>단가대비표!U10</f>
        <v>4762</v>
      </c>
      <c r="F185" s="27">
        <f t="shared" si="39"/>
        <v>761.92</v>
      </c>
      <c r="G185" s="28">
        <f>단가대비표!V10</f>
        <v>0</v>
      </c>
      <c r="H185" s="27">
        <f t="shared" si="40"/>
        <v>0</v>
      </c>
      <c r="I185" s="28">
        <f>단가대비표!AE10</f>
        <v>0</v>
      </c>
      <c r="J185" s="27">
        <f t="shared" si="41"/>
        <v>0</v>
      </c>
      <c r="K185" s="27">
        <f t="shared" si="42"/>
        <v>4762</v>
      </c>
      <c r="L185" s="27">
        <f t="shared" si="42"/>
        <v>761.92</v>
      </c>
      <c r="M185" s="29" t="s">
        <v>1119</v>
      </c>
      <c r="N185" s="7" t="s">
        <v>394</v>
      </c>
      <c r="O185" s="14" t="s">
        <v>339</v>
      </c>
      <c r="P185" s="14" t="s">
        <v>823</v>
      </c>
      <c r="Q185" s="14" t="s">
        <v>823</v>
      </c>
      <c r="R185" s="14" t="s">
        <v>228</v>
      </c>
      <c r="S185" s="31">
        <v>25</v>
      </c>
      <c r="T185" s="14" t="s">
        <v>261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</row>
    <row r="186" spans="1:28" ht="29.1" customHeight="1" x14ac:dyDescent="0.3">
      <c r="A186" s="5" t="s">
        <v>1280</v>
      </c>
      <c r="B186" s="29" t="s">
        <v>502</v>
      </c>
      <c r="C186" s="5" t="s">
        <v>1086</v>
      </c>
      <c r="D186" s="10">
        <v>5.5</v>
      </c>
      <c r="E186" s="28">
        <f>단가대비표!U18</f>
        <v>210</v>
      </c>
      <c r="F186" s="27">
        <f t="shared" si="39"/>
        <v>1155</v>
      </c>
      <c r="G186" s="28">
        <f>단가대비표!V18</f>
        <v>0</v>
      </c>
      <c r="H186" s="27">
        <f t="shared" si="40"/>
        <v>0</v>
      </c>
      <c r="I186" s="28">
        <f>단가대비표!AE18</f>
        <v>0</v>
      </c>
      <c r="J186" s="27">
        <f t="shared" si="41"/>
        <v>0</v>
      </c>
      <c r="K186" s="27">
        <f t="shared" si="42"/>
        <v>210</v>
      </c>
      <c r="L186" s="27">
        <f t="shared" si="42"/>
        <v>1155</v>
      </c>
      <c r="M186" s="29" t="s">
        <v>1117</v>
      </c>
      <c r="N186" s="7" t="s">
        <v>394</v>
      </c>
      <c r="O186" s="14" t="s">
        <v>321</v>
      </c>
      <c r="P186" s="14" t="s">
        <v>823</v>
      </c>
      <c r="Q186" s="14" t="s">
        <v>823</v>
      </c>
      <c r="R186" s="14" t="s">
        <v>228</v>
      </c>
      <c r="S186" s="31">
        <v>30</v>
      </c>
      <c r="T186" s="14" t="s">
        <v>823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</row>
    <row r="187" spans="1:28" ht="29.1" customHeight="1" x14ac:dyDescent="0.3">
      <c r="A187" s="5" t="s">
        <v>138</v>
      </c>
      <c r="B187" s="29" t="s">
        <v>218</v>
      </c>
      <c r="C187" s="5" t="s">
        <v>1086</v>
      </c>
      <c r="D187" s="10">
        <v>8</v>
      </c>
      <c r="E187" s="28">
        <f>단가대비표!U19</f>
        <v>275</v>
      </c>
      <c r="F187" s="27">
        <f t="shared" si="39"/>
        <v>2200</v>
      </c>
      <c r="G187" s="28">
        <f>단가대비표!V19</f>
        <v>0</v>
      </c>
      <c r="H187" s="27">
        <f t="shared" si="40"/>
        <v>0</v>
      </c>
      <c r="I187" s="28">
        <f>단가대비표!AE19</f>
        <v>0</v>
      </c>
      <c r="J187" s="27">
        <f t="shared" si="41"/>
        <v>0</v>
      </c>
      <c r="K187" s="27">
        <f t="shared" si="42"/>
        <v>275</v>
      </c>
      <c r="L187" s="27">
        <f t="shared" si="42"/>
        <v>2200</v>
      </c>
      <c r="M187" s="29" t="s">
        <v>894</v>
      </c>
      <c r="N187" s="7" t="s">
        <v>394</v>
      </c>
      <c r="O187" s="14" t="s">
        <v>275</v>
      </c>
      <c r="P187" s="14" t="s">
        <v>823</v>
      </c>
      <c r="Q187" s="14" t="s">
        <v>823</v>
      </c>
      <c r="R187" s="14" t="s">
        <v>228</v>
      </c>
      <c r="S187" s="31">
        <v>50</v>
      </c>
      <c r="T187" s="14" t="s">
        <v>881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</row>
    <row r="188" spans="1:28" ht="29.1" customHeight="1" x14ac:dyDescent="0.3">
      <c r="A188" s="5" t="s">
        <v>1031</v>
      </c>
      <c r="B188" s="29" t="s">
        <v>18</v>
      </c>
      <c r="C188" s="5" t="s">
        <v>1086</v>
      </c>
      <c r="D188" s="10">
        <v>24</v>
      </c>
      <c r="E188" s="28">
        <f>단가대비표!U57</f>
        <v>7.2</v>
      </c>
      <c r="F188" s="27">
        <f t="shared" si="39"/>
        <v>172.8</v>
      </c>
      <c r="G188" s="28">
        <f>단가대비표!V57</f>
        <v>0</v>
      </c>
      <c r="H188" s="27">
        <f t="shared" si="40"/>
        <v>0</v>
      </c>
      <c r="I188" s="28">
        <f>단가대비표!AE57</f>
        <v>0</v>
      </c>
      <c r="J188" s="27">
        <f t="shared" si="41"/>
        <v>0</v>
      </c>
      <c r="K188" s="27">
        <f t="shared" si="42"/>
        <v>7.2</v>
      </c>
      <c r="L188" s="27">
        <f t="shared" si="42"/>
        <v>172.8</v>
      </c>
      <c r="M188" s="29" t="s">
        <v>892</v>
      </c>
      <c r="N188" s="7" t="s">
        <v>394</v>
      </c>
      <c r="O188" s="14" t="s">
        <v>252</v>
      </c>
      <c r="P188" s="14" t="s">
        <v>823</v>
      </c>
      <c r="Q188" s="14" t="s">
        <v>823</v>
      </c>
      <c r="R188" s="14" t="s">
        <v>228</v>
      </c>
      <c r="S188" s="31">
        <v>60</v>
      </c>
      <c r="T188" s="14" t="s">
        <v>1234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</row>
    <row r="189" spans="1:28" ht="29.1" customHeight="1" x14ac:dyDescent="0.3">
      <c r="A189" s="5" t="s">
        <v>209</v>
      </c>
      <c r="B189" s="29" t="s">
        <v>1120</v>
      </c>
      <c r="C189" s="5" t="s">
        <v>1004</v>
      </c>
      <c r="D189" s="10">
        <v>1</v>
      </c>
      <c r="E189" s="28">
        <f>일위대가목록!E57</f>
        <v>628</v>
      </c>
      <c r="F189" s="27">
        <f t="shared" si="39"/>
        <v>628</v>
      </c>
      <c r="G189" s="28">
        <f>일위대가목록!F57</f>
        <v>10477</v>
      </c>
      <c r="H189" s="27">
        <f t="shared" si="40"/>
        <v>10477</v>
      </c>
      <c r="I189" s="28">
        <f>일위대가목록!G57</f>
        <v>0</v>
      </c>
      <c r="J189" s="27">
        <f t="shared" si="41"/>
        <v>0</v>
      </c>
      <c r="K189" s="27">
        <f t="shared" si="42"/>
        <v>11105</v>
      </c>
      <c r="L189" s="27">
        <f t="shared" si="42"/>
        <v>11105</v>
      </c>
      <c r="M189" s="29" t="s">
        <v>418</v>
      </c>
      <c r="N189" s="7" t="s">
        <v>394</v>
      </c>
      <c r="O189" s="14" t="s">
        <v>956</v>
      </c>
      <c r="P189" s="14" t="s">
        <v>823</v>
      </c>
      <c r="Q189" s="14" t="s">
        <v>823</v>
      </c>
      <c r="R189" s="14" t="s">
        <v>228</v>
      </c>
      <c r="S189" s="31">
        <v>70</v>
      </c>
      <c r="T189" s="14" t="s">
        <v>997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</row>
    <row r="190" spans="1:28" ht="29.1" customHeight="1" x14ac:dyDescent="0.3">
      <c r="A190" s="5" t="s">
        <v>621</v>
      </c>
      <c r="B190" s="5" t="s">
        <v>823</v>
      </c>
      <c r="C190" s="5" t="s">
        <v>823</v>
      </c>
      <c r="D190" s="5" t="s">
        <v>823</v>
      </c>
      <c r="E190" s="28">
        <v>0</v>
      </c>
      <c r="F190" s="28">
        <f>TRUNC(SUMIF(R183:R189, " ", F183:F189),0)</f>
        <v>12383</v>
      </c>
      <c r="G190" s="28">
        <v>0</v>
      </c>
      <c r="H190" s="28">
        <f>TRUNC(SUMIF(R183:R189, " ", H183:H189),0)</f>
        <v>10477</v>
      </c>
      <c r="I190" s="28">
        <v>0</v>
      </c>
      <c r="J190" s="27">
        <f>TRUNC(SUMIF(R183:R189, " ", J183:J189),0)</f>
        <v>0</v>
      </c>
      <c r="K190" s="20" t="s">
        <v>823</v>
      </c>
      <c r="L190" s="28">
        <f>F190+H190+J190</f>
        <v>22860</v>
      </c>
      <c r="M190" s="29"/>
      <c r="N190" s="24" t="s">
        <v>747</v>
      </c>
      <c r="O190" s="4" t="s">
        <v>747</v>
      </c>
    </row>
    <row r="191" spans="1:28" ht="29.1" customHeight="1" x14ac:dyDescent="0.3">
      <c r="A191" s="5" t="s">
        <v>823</v>
      </c>
      <c r="B191" s="5" t="s">
        <v>823</v>
      </c>
      <c r="C191" s="5" t="s">
        <v>823</v>
      </c>
      <c r="D191" s="5" t="s">
        <v>823</v>
      </c>
      <c r="E191" s="5" t="s">
        <v>823</v>
      </c>
      <c r="F191" s="5" t="s">
        <v>823</v>
      </c>
      <c r="G191" s="5" t="s">
        <v>823</v>
      </c>
      <c r="H191" s="5" t="s">
        <v>823</v>
      </c>
      <c r="I191" s="5" t="s">
        <v>823</v>
      </c>
      <c r="J191" s="5" t="s">
        <v>823</v>
      </c>
      <c r="K191" s="5" t="s">
        <v>823</v>
      </c>
      <c r="L191" s="5" t="s">
        <v>823</v>
      </c>
      <c r="M191" s="5" t="s">
        <v>823</v>
      </c>
    </row>
    <row r="192" spans="1:28" ht="29.1" customHeight="1" x14ac:dyDescent="0.3">
      <c r="A192" s="48" t="s">
        <v>601</v>
      </c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50"/>
      <c r="N192" s="7" t="s">
        <v>1069</v>
      </c>
    </row>
    <row r="193" spans="1:28" ht="29.1" customHeight="1" x14ac:dyDescent="0.3">
      <c r="A193" s="5" t="s">
        <v>465</v>
      </c>
      <c r="B193" s="29" t="s">
        <v>269</v>
      </c>
      <c r="C193" s="5" t="s">
        <v>656</v>
      </c>
      <c r="D193" s="10">
        <v>1.6E-2</v>
      </c>
      <c r="E193" s="28">
        <f>단가대비표!U91</f>
        <v>0</v>
      </c>
      <c r="F193" s="27">
        <f>TRUNC(D193*E193,2)</f>
        <v>0</v>
      </c>
      <c r="G193" s="28">
        <f>단가대비표!V91</f>
        <v>255231</v>
      </c>
      <c r="H193" s="27">
        <f>TRUNC(D193*G193,2)</f>
        <v>4083.69</v>
      </c>
      <c r="I193" s="28">
        <f>단가대비표!AE91</f>
        <v>0</v>
      </c>
      <c r="J193" s="27">
        <f>TRUNC(D193*I193,2)</f>
        <v>0</v>
      </c>
      <c r="K193" s="27">
        <f>E193+G193+I193</f>
        <v>255231</v>
      </c>
      <c r="L193" s="27">
        <f>F193+H193+J193</f>
        <v>4083.69</v>
      </c>
      <c r="M193" s="29" t="s">
        <v>988</v>
      </c>
      <c r="N193" s="7" t="s">
        <v>1069</v>
      </c>
      <c r="O193" s="14" t="s">
        <v>873</v>
      </c>
      <c r="P193" s="14" t="s">
        <v>823</v>
      </c>
      <c r="Q193" s="14" t="s">
        <v>823</v>
      </c>
      <c r="R193" s="14" t="s">
        <v>228</v>
      </c>
      <c r="S193" s="31">
        <v>10</v>
      </c>
      <c r="T193" s="14" t="s">
        <v>823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</row>
    <row r="194" spans="1:28" ht="29.1" customHeight="1" x14ac:dyDescent="0.3">
      <c r="A194" s="5" t="s">
        <v>1250</v>
      </c>
      <c r="B194" s="29" t="s">
        <v>269</v>
      </c>
      <c r="C194" s="5" t="s">
        <v>656</v>
      </c>
      <c r="D194" s="10">
        <v>1.0999999999999999E-2</v>
      </c>
      <c r="E194" s="28">
        <f>단가대비표!U81</f>
        <v>0</v>
      </c>
      <c r="F194" s="27">
        <f>TRUNC(D194*E194,2)</f>
        <v>0</v>
      </c>
      <c r="G194" s="28">
        <f>단가대비표!V81</f>
        <v>171037</v>
      </c>
      <c r="H194" s="27">
        <f>TRUNC(D194*G194,2)</f>
        <v>1881.4</v>
      </c>
      <c r="I194" s="28">
        <f>단가대비표!AE81</f>
        <v>0</v>
      </c>
      <c r="J194" s="27">
        <f>TRUNC(D194*I194,2)</f>
        <v>0</v>
      </c>
      <c r="K194" s="27">
        <f>E194+G194+I194</f>
        <v>171037</v>
      </c>
      <c r="L194" s="27">
        <f>F194+H194+J194</f>
        <v>1881.4</v>
      </c>
      <c r="M194" s="29" t="s">
        <v>162</v>
      </c>
      <c r="N194" s="7" t="s">
        <v>1069</v>
      </c>
      <c r="O194" s="14" t="s">
        <v>40</v>
      </c>
      <c r="P194" s="14" t="s">
        <v>823</v>
      </c>
      <c r="Q194" s="14" t="s">
        <v>823</v>
      </c>
      <c r="R194" s="14" t="s">
        <v>228</v>
      </c>
      <c r="S194" s="31">
        <v>20</v>
      </c>
      <c r="T194" s="14" t="s">
        <v>823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</row>
    <row r="195" spans="1:28" ht="29.1" customHeight="1" x14ac:dyDescent="0.3">
      <c r="A195" s="5" t="s">
        <v>621</v>
      </c>
      <c r="B195" s="5" t="s">
        <v>823</v>
      </c>
      <c r="C195" s="5" t="s">
        <v>823</v>
      </c>
      <c r="D195" s="5" t="s">
        <v>823</v>
      </c>
      <c r="E195" s="28">
        <v>0</v>
      </c>
      <c r="F195" s="28">
        <f>TRUNC(SUMIF(R193:R194, " ", F193:F194),0)</f>
        <v>0</v>
      </c>
      <c r="G195" s="28">
        <v>0</v>
      </c>
      <c r="H195" s="28">
        <f>TRUNC(SUMIF(R193:R194, " ", H193:H194),0)</f>
        <v>5965</v>
      </c>
      <c r="I195" s="28">
        <v>0</v>
      </c>
      <c r="J195" s="27">
        <f>TRUNC(SUMIF(R193:R194, " ", J193:J194),0)</f>
        <v>0</v>
      </c>
      <c r="K195" s="20" t="s">
        <v>823</v>
      </c>
      <c r="L195" s="28">
        <f>F195+H195+J195</f>
        <v>5965</v>
      </c>
      <c r="M195" s="29"/>
      <c r="N195" s="24" t="s">
        <v>747</v>
      </c>
      <c r="O195" s="4" t="s">
        <v>747</v>
      </c>
    </row>
    <row r="196" spans="1:28" ht="29.1" customHeight="1" x14ac:dyDescent="0.3">
      <c r="A196" s="5" t="s">
        <v>823</v>
      </c>
      <c r="B196" s="5" t="s">
        <v>823</v>
      </c>
      <c r="C196" s="5" t="s">
        <v>823</v>
      </c>
      <c r="D196" s="5" t="s">
        <v>823</v>
      </c>
      <c r="E196" s="5" t="s">
        <v>823</v>
      </c>
      <c r="F196" s="5" t="s">
        <v>823</v>
      </c>
      <c r="G196" s="5" t="s">
        <v>823</v>
      </c>
      <c r="H196" s="5" t="s">
        <v>823</v>
      </c>
      <c r="I196" s="5" t="s">
        <v>823</v>
      </c>
      <c r="J196" s="5" t="s">
        <v>823</v>
      </c>
      <c r="K196" s="5" t="s">
        <v>823</v>
      </c>
      <c r="L196" s="5" t="s">
        <v>823</v>
      </c>
      <c r="M196" s="5" t="s">
        <v>823</v>
      </c>
    </row>
    <row r="197" spans="1:28" ht="29.1" customHeight="1" x14ac:dyDescent="0.3">
      <c r="A197" s="48" t="s">
        <v>150</v>
      </c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50"/>
      <c r="N197" s="7" t="s">
        <v>522</v>
      </c>
    </row>
    <row r="198" spans="1:28" ht="29.1" customHeight="1" x14ac:dyDescent="0.3">
      <c r="A198" s="5" t="s">
        <v>465</v>
      </c>
      <c r="B198" s="29" t="s">
        <v>269</v>
      </c>
      <c r="C198" s="5" t="s">
        <v>656</v>
      </c>
      <c r="D198" s="10">
        <v>1.7999999999999999E-2</v>
      </c>
      <c r="E198" s="28">
        <f>단가대비표!U91</f>
        <v>0</v>
      </c>
      <c r="F198" s="27">
        <f>TRUNC(D198*E198,2)</f>
        <v>0</v>
      </c>
      <c r="G198" s="28">
        <f>단가대비표!V91</f>
        <v>255231</v>
      </c>
      <c r="H198" s="27">
        <f>TRUNC(D198*G198,2)</f>
        <v>4594.1499999999996</v>
      </c>
      <c r="I198" s="28">
        <f>단가대비표!AE91</f>
        <v>0</v>
      </c>
      <c r="J198" s="27">
        <f>TRUNC(D198*I198,2)</f>
        <v>0</v>
      </c>
      <c r="K198" s="27">
        <f t="shared" ref="K198:L200" si="43">E198+G198+I198</f>
        <v>255231</v>
      </c>
      <c r="L198" s="27">
        <f t="shared" si="43"/>
        <v>4594.1499999999996</v>
      </c>
      <c r="M198" s="29" t="s">
        <v>988</v>
      </c>
      <c r="N198" s="7" t="s">
        <v>522</v>
      </c>
      <c r="O198" s="14" t="s">
        <v>873</v>
      </c>
      <c r="P198" s="14" t="s">
        <v>823</v>
      </c>
      <c r="Q198" s="14" t="s">
        <v>823</v>
      </c>
      <c r="R198" s="14" t="s">
        <v>228</v>
      </c>
      <c r="S198" s="31">
        <v>10</v>
      </c>
      <c r="T198" s="14" t="s">
        <v>823</v>
      </c>
      <c r="U198" s="31">
        <v>0</v>
      </c>
      <c r="V198" s="31">
        <v>1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</row>
    <row r="199" spans="1:28" ht="29.1" customHeight="1" x14ac:dyDescent="0.3">
      <c r="A199" s="5" t="s">
        <v>1250</v>
      </c>
      <c r="B199" s="29" t="s">
        <v>269</v>
      </c>
      <c r="C199" s="5" t="s">
        <v>656</v>
      </c>
      <c r="D199" s="10">
        <v>1.2E-2</v>
      </c>
      <c r="E199" s="28">
        <f>단가대비표!U81</f>
        <v>0</v>
      </c>
      <c r="F199" s="27">
        <f>TRUNC(D199*E199,2)</f>
        <v>0</v>
      </c>
      <c r="G199" s="28">
        <f>단가대비표!V81</f>
        <v>171037</v>
      </c>
      <c r="H199" s="27">
        <f>TRUNC(D199*G199,2)</f>
        <v>2052.44</v>
      </c>
      <c r="I199" s="28">
        <f>단가대비표!AE81</f>
        <v>0</v>
      </c>
      <c r="J199" s="27">
        <f>TRUNC(D199*I199,2)</f>
        <v>0</v>
      </c>
      <c r="K199" s="27">
        <f t="shared" si="43"/>
        <v>171037</v>
      </c>
      <c r="L199" s="27">
        <f t="shared" si="43"/>
        <v>2052.44</v>
      </c>
      <c r="M199" s="29" t="s">
        <v>162</v>
      </c>
      <c r="N199" s="7" t="s">
        <v>522</v>
      </c>
      <c r="O199" s="14" t="s">
        <v>40</v>
      </c>
      <c r="P199" s="14" t="s">
        <v>823</v>
      </c>
      <c r="Q199" s="14" t="s">
        <v>823</v>
      </c>
      <c r="R199" s="14" t="s">
        <v>228</v>
      </c>
      <c r="S199" s="31">
        <v>20</v>
      </c>
      <c r="T199" s="14" t="s">
        <v>823</v>
      </c>
      <c r="U199" s="31">
        <v>0</v>
      </c>
      <c r="V199" s="31">
        <v>1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</row>
    <row r="200" spans="1:28" ht="29.1" customHeight="1" x14ac:dyDescent="0.3">
      <c r="A200" s="5" t="s">
        <v>1195</v>
      </c>
      <c r="B200" s="29" t="s">
        <v>658</v>
      </c>
      <c r="C200" s="5" t="s">
        <v>136</v>
      </c>
      <c r="D200" s="10">
        <v>1</v>
      </c>
      <c r="E200" s="27">
        <f>TRUNC(SUMIF(V198:V200, RIGHTB(O200, 1), H198:H200)*U200, 2)</f>
        <v>132.93</v>
      </c>
      <c r="F200" s="27">
        <f>TRUNC(D200*E200,2)</f>
        <v>132.93</v>
      </c>
      <c r="G200" s="27">
        <v>0</v>
      </c>
      <c r="H200" s="27">
        <f>TRUNC(D200*G200,2)</f>
        <v>0</v>
      </c>
      <c r="I200" s="27">
        <v>0</v>
      </c>
      <c r="J200" s="27">
        <f>TRUNC(D200*I200,2)</f>
        <v>0</v>
      </c>
      <c r="K200" s="27">
        <f t="shared" si="43"/>
        <v>132.93</v>
      </c>
      <c r="L200" s="27">
        <f t="shared" si="43"/>
        <v>132.93</v>
      </c>
      <c r="M200" s="29"/>
      <c r="N200" s="7" t="s">
        <v>522</v>
      </c>
      <c r="O200" s="14" t="s">
        <v>572</v>
      </c>
      <c r="P200" s="14" t="s">
        <v>823</v>
      </c>
      <c r="Q200" s="14" t="s">
        <v>823</v>
      </c>
      <c r="R200" s="14" t="s">
        <v>228</v>
      </c>
      <c r="S200" s="31">
        <v>30</v>
      </c>
      <c r="T200" s="14" t="s">
        <v>604</v>
      </c>
      <c r="U200" s="31">
        <v>0.02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</row>
    <row r="201" spans="1:28" ht="29.1" customHeight="1" x14ac:dyDescent="0.3">
      <c r="A201" s="5" t="s">
        <v>621</v>
      </c>
      <c r="B201" s="5" t="s">
        <v>823</v>
      </c>
      <c r="C201" s="5" t="s">
        <v>823</v>
      </c>
      <c r="D201" s="5" t="s">
        <v>823</v>
      </c>
      <c r="E201" s="28">
        <v>0</v>
      </c>
      <c r="F201" s="28">
        <f>TRUNC(SUMIF(R198:R200, " ", F198:F200),0)</f>
        <v>132</v>
      </c>
      <c r="G201" s="28">
        <v>0</v>
      </c>
      <c r="H201" s="28">
        <f>TRUNC(SUMIF(R198:R200, " ", H198:H200),0)</f>
        <v>6646</v>
      </c>
      <c r="I201" s="28">
        <v>0</v>
      </c>
      <c r="J201" s="27">
        <f>TRUNC(SUMIF(R198:R200, " ", J198:J200),0)</f>
        <v>0</v>
      </c>
      <c r="K201" s="20" t="s">
        <v>823</v>
      </c>
      <c r="L201" s="28">
        <f>F201+H201+J201</f>
        <v>6778</v>
      </c>
      <c r="M201" s="29"/>
      <c r="N201" s="24" t="s">
        <v>747</v>
      </c>
      <c r="O201" s="4" t="s">
        <v>747</v>
      </c>
    </row>
    <row r="202" spans="1:28" ht="29.1" customHeight="1" x14ac:dyDescent="0.3">
      <c r="A202" s="5" t="s">
        <v>823</v>
      </c>
      <c r="B202" s="5" t="s">
        <v>823</v>
      </c>
      <c r="C202" s="5" t="s">
        <v>823</v>
      </c>
      <c r="D202" s="5" t="s">
        <v>823</v>
      </c>
      <c r="E202" s="5" t="s">
        <v>823</v>
      </c>
      <c r="F202" s="5" t="s">
        <v>823</v>
      </c>
      <c r="G202" s="5" t="s">
        <v>823</v>
      </c>
      <c r="H202" s="5" t="s">
        <v>823</v>
      </c>
      <c r="I202" s="5" t="s">
        <v>823</v>
      </c>
      <c r="J202" s="5" t="s">
        <v>823</v>
      </c>
      <c r="K202" s="5" t="s">
        <v>823</v>
      </c>
      <c r="L202" s="5" t="s">
        <v>823</v>
      </c>
      <c r="M202" s="5" t="s">
        <v>823</v>
      </c>
    </row>
    <row r="203" spans="1:28" ht="29.1" customHeight="1" x14ac:dyDescent="0.3">
      <c r="A203" s="48" t="s">
        <v>1088</v>
      </c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50"/>
      <c r="N203" s="7" t="s">
        <v>220</v>
      </c>
    </row>
    <row r="204" spans="1:28" ht="29.1" customHeight="1" x14ac:dyDescent="0.3">
      <c r="A204" s="5" t="s">
        <v>465</v>
      </c>
      <c r="B204" s="29" t="s">
        <v>269</v>
      </c>
      <c r="C204" s="5" t="s">
        <v>656</v>
      </c>
      <c r="D204" s="10">
        <v>1.6E-2</v>
      </c>
      <c r="E204" s="28">
        <f>단가대비표!U91</f>
        <v>0</v>
      </c>
      <c r="F204" s="27">
        <f>TRUNC(D204*E204,2)</f>
        <v>0</v>
      </c>
      <c r="G204" s="28">
        <f>단가대비표!V91</f>
        <v>255231</v>
      </c>
      <c r="H204" s="27">
        <f>TRUNC(D204*G204,2)</f>
        <v>4083.69</v>
      </c>
      <c r="I204" s="28">
        <f>단가대비표!AE91</f>
        <v>0</v>
      </c>
      <c r="J204" s="27">
        <f>TRUNC(D204*I204,2)</f>
        <v>0</v>
      </c>
      <c r="K204" s="27">
        <f t="shared" ref="K204:L206" si="44">E204+G204+I204</f>
        <v>255231</v>
      </c>
      <c r="L204" s="27">
        <f t="shared" si="44"/>
        <v>4083.69</v>
      </c>
      <c r="M204" s="29" t="s">
        <v>988</v>
      </c>
      <c r="N204" s="7" t="s">
        <v>220</v>
      </c>
      <c r="O204" s="14" t="s">
        <v>873</v>
      </c>
      <c r="P204" s="14" t="s">
        <v>823</v>
      </c>
      <c r="Q204" s="14" t="s">
        <v>823</v>
      </c>
      <c r="R204" s="14" t="s">
        <v>228</v>
      </c>
      <c r="S204" s="31">
        <v>10</v>
      </c>
      <c r="T204" s="14" t="s">
        <v>823</v>
      </c>
      <c r="U204" s="31">
        <v>0</v>
      </c>
      <c r="V204" s="31">
        <v>1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</row>
    <row r="205" spans="1:28" ht="29.1" customHeight="1" x14ac:dyDescent="0.3">
      <c r="A205" s="5" t="s">
        <v>1250</v>
      </c>
      <c r="B205" s="29" t="s">
        <v>269</v>
      </c>
      <c r="C205" s="5" t="s">
        <v>656</v>
      </c>
      <c r="D205" s="10">
        <v>1.0999999999999999E-2</v>
      </c>
      <c r="E205" s="28">
        <f>단가대비표!U81</f>
        <v>0</v>
      </c>
      <c r="F205" s="27">
        <f>TRUNC(D205*E205,2)</f>
        <v>0</v>
      </c>
      <c r="G205" s="28">
        <f>단가대비표!V81</f>
        <v>171037</v>
      </c>
      <c r="H205" s="27">
        <f>TRUNC(D205*G205,2)</f>
        <v>1881.4</v>
      </c>
      <c r="I205" s="28">
        <f>단가대비표!AE81</f>
        <v>0</v>
      </c>
      <c r="J205" s="27">
        <f>TRUNC(D205*I205,2)</f>
        <v>0</v>
      </c>
      <c r="K205" s="27">
        <f t="shared" si="44"/>
        <v>171037</v>
      </c>
      <c r="L205" s="27">
        <f t="shared" si="44"/>
        <v>1881.4</v>
      </c>
      <c r="M205" s="29" t="s">
        <v>162</v>
      </c>
      <c r="N205" s="7" t="s">
        <v>220</v>
      </c>
      <c r="O205" s="14" t="s">
        <v>40</v>
      </c>
      <c r="P205" s="14" t="s">
        <v>823</v>
      </c>
      <c r="Q205" s="14" t="s">
        <v>823</v>
      </c>
      <c r="R205" s="14" t="s">
        <v>228</v>
      </c>
      <c r="S205" s="31">
        <v>20</v>
      </c>
      <c r="T205" s="14" t="s">
        <v>823</v>
      </c>
      <c r="U205" s="31">
        <v>0</v>
      </c>
      <c r="V205" s="31">
        <v>1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</row>
    <row r="206" spans="1:28" ht="29.1" customHeight="1" x14ac:dyDescent="0.3">
      <c r="A206" s="5" t="s">
        <v>1195</v>
      </c>
      <c r="B206" s="29" t="s">
        <v>658</v>
      </c>
      <c r="C206" s="5" t="s">
        <v>136</v>
      </c>
      <c r="D206" s="10">
        <v>1</v>
      </c>
      <c r="E206" s="27">
        <f>TRUNC(SUMIF(V204:V206, RIGHTB(O206, 1), H204:H206)*U206, 2)</f>
        <v>119.3</v>
      </c>
      <c r="F206" s="27">
        <f>TRUNC(D206*E206,2)</f>
        <v>119.3</v>
      </c>
      <c r="G206" s="27">
        <v>0</v>
      </c>
      <c r="H206" s="27">
        <f>TRUNC(D206*G206,2)</f>
        <v>0</v>
      </c>
      <c r="I206" s="27">
        <v>0</v>
      </c>
      <c r="J206" s="27">
        <f>TRUNC(D206*I206,2)</f>
        <v>0</v>
      </c>
      <c r="K206" s="27">
        <f t="shared" si="44"/>
        <v>119.3</v>
      </c>
      <c r="L206" s="27">
        <f t="shared" si="44"/>
        <v>119.3</v>
      </c>
      <c r="M206" s="29"/>
      <c r="N206" s="7" t="s">
        <v>220</v>
      </c>
      <c r="O206" s="14" t="s">
        <v>572</v>
      </c>
      <c r="P206" s="14" t="s">
        <v>823</v>
      </c>
      <c r="Q206" s="14" t="s">
        <v>823</v>
      </c>
      <c r="R206" s="14" t="s">
        <v>228</v>
      </c>
      <c r="S206" s="31">
        <v>30</v>
      </c>
      <c r="T206" s="14" t="s">
        <v>277</v>
      </c>
      <c r="U206" s="31">
        <v>0.02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</row>
    <row r="207" spans="1:28" ht="29.1" customHeight="1" x14ac:dyDescent="0.3">
      <c r="A207" s="5" t="s">
        <v>621</v>
      </c>
      <c r="B207" s="5" t="s">
        <v>823</v>
      </c>
      <c r="C207" s="5" t="s">
        <v>823</v>
      </c>
      <c r="D207" s="5" t="s">
        <v>823</v>
      </c>
      <c r="E207" s="28">
        <v>0</v>
      </c>
      <c r="F207" s="28">
        <f>TRUNC(SUMIF(R204:R206, " ", F204:F206),0)</f>
        <v>119</v>
      </c>
      <c r="G207" s="28">
        <v>0</v>
      </c>
      <c r="H207" s="28">
        <f>TRUNC(SUMIF(R204:R206, " ", H204:H206),0)</f>
        <v>5965</v>
      </c>
      <c r="I207" s="28">
        <v>0</v>
      </c>
      <c r="J207" s="27">
        <f>TRUNC(SUMIF(R204:R206, " ", J204:J206),0)</f>
        <v>0</v>
      </c>
      <c r="K207" s="20" t="s">
        <v>823</v>
      </c>
      <c r="L207" s="28">
        <f>F207+H207+J207</f>
        <v>6084</v>
      </c>
      <c r="M207" s="29"/>
      <c r="N207" s="24" t="s">
        <v>747</v>
      </c>
      <c r="O207" s="4" t="s">
        <v>747</v>
      </c>
    </row>
    <row r="208" spans="1:28" ht="29.1" customHeight="1" x14ac:dyDescent="0.3">
      <c r="A208" s="5" t="s">
        <v>823</v>
      </c>
      <c r="B208" s="5" t="s">
        <v>823</v>
      </c>
      <c r="C208" s="5" t="s">
        <v>823</v>
      </c>
      <c r="D208" s="5" t="s">
        <v>823</v>
      </c>
      <c r="E208" s="5" t="s">
        <v>823</v>
      </c>
      <c r="F208" s="5" t="s">
        <v>823</v>
      </c>
      <c r="G208" s="5" t="s">
        <v>823</v>
      </c>
      <c r="H208" s="5" t="s">
        <v>823</v>
      </c>
      <c r="I208" s="5" t="s">
        <v>823</v>
      </c>
      <c r="J208" s="5" t="s">
        <v>823</v>
      </c>
      <c r="K208" s="5" t="s">
        <v>823</v>
      </c>
      <c r="L208" s="5" t="s">
        <v>823</v>
      </c>
      <c r="M208" s="5" t="s">
        <v>823</v>
      </c>
    </row>
    <row r="209" spans="1:28" ht="29.1" customHeight="1" x14ac:dyDescent="0.3">
      <c r="A209" s="48" t="s">
        <v>1082</v>
      </c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50"/>
      <c r="N209" s="7" t="s">
        <v>36</v>
      </c>
    </row>
    <row r="210" spans="1:28" ht="29.1" customHeight="1" x14ac:dyDescent="0.3">
      <c r="A210" s="5" t="s">
        <v>465</v>
      </c>
      <c r="B210" s="29" t="s">
        <v>269</v>
      </c>
      <c r="C210" s="5" t="s">
        <v>656</v>
      </c>
      <c r="D210" s="10">
        <v>1.6E-2</v>
      </c>
      <c r="E210" s="28">
        <f>단가대비표!U91</f>
        <v>0</v>
      </c>
      <c r="F210" s="27">
        <f>TRUNC(D210*E210,2)</f>
        <v>0</v>
      </c>
      <c r="G210" s="28">
        <f>단가대비표!V91</f>
        <v>255231</v>
      </c>
      <c r="H210" s="27">
        <f>TRUNC(D210*G210,2)</f>
        <v>4083.69</v>
      </c>
      <c r="I210" s="28">
        <f>단가대비표!AE91</f>
        <v>0</v>
      </c>
      <c r="J210" s="27">
        <f>TRUNC(D210*I210,2)</f>
        <v>0</v>
      </c>
      <c r="K210" s="27">
        <f t="shared" ref="K210:L212" si="45">E210+G210+I210</f>
        <v>255231</v>
      </c>
      <c r="L210" s="27">
        <f t="shared" si="45"/>
        <v>4083.69</v>
      </c>
      <c r="M210" s="29" t="s">
        <v>988</v>
      </c>
      <c r="N210" s="7" t="s">
        <v>36</v>
      </c>
      <c r="O210" s="14" t="s">
        <v>873</v>
      </c>
      <c r="P210" s="14" t="s">
        <v>823</v>
      </c>
      <c r="Q210" s="14" t="s">
        <v>823</v>
      </c>
      <c r="R210" s="14" t="s">
        <v>228</v>
      </c>
      <c r="S210" s="31">
        <v>10</v>
      </c>
      <c r="T210" s="14" t="s">
        <v>823</v>
      </c>
      <c r="U210" s="31">
        <v>0</v>
      </c>
      <c r="V210" s="31">
        <v>1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</row>
    <row r="211" spans="1:28" ht="29.1" customHeight="1" x14ac:dyDescent="0.3">
      <c r="A211" s="5" t="s">
        <v>1250</v>
      </c>
      <c r="B211" s="29" t="s">
        <v>269</v>
      </c>
      <c r="C211" s="5" t="s">
        <v>656</v>
      </c>
      <c r="D211" s="10">
        <v>1.0999999999999999E-2</v>
      </c>
      <c r="E211" s="28">
        <f>단가대비표!U81</f>
        <v>0</v>
      </c>
      <c r="F211" s="27">
        <f>TRUNC(D211*E211,2)</f>
        <v>0</v>
      </c>
      <c r="G211" s="28">
        <f>단가대비표!V81</f>
        <v>171037</v>
      </c>
      <c r="H211" s="27">
        <f>TRUNC(D211*G211,2)</f>
        <v>1881.4</v>
      </c>
      <c r="I211" s="28">
        <f>단가대비표!AE81</f>
        <v>0</v>
      </c>
      <c r="J211" s="27">
        <f>TRUNC(D211*I211,2)</f>
        <v>0</v>
      </c>
      <c r="K211" s="27">
        <f t="shared" si="45"/>
        <v>171037</v>
      </c>
      <c r="L211" s="27">
        <f t="shared" si="45"/>
        <v>1881.4</v>
      </c>
      <c r="M211" s="29" t="s">
        <v>162</v>
      </c>
      <c r="N211" s="7" t="s">
        <v>36</v>
      </c>
      <c r="O211" s="14" t="s">
        <v>40</v>
      </c>
      <c r="P211" s="14" t="s">
        <v>823</v>
      </c>
      <c r="Q211" s="14" t="s">
        <v>823</v>
      </c>
      <c r="R211" s="14" t="s">
        <v>228</v>
      </c>
      <c r="S211" s="31">
        <v>20</v>
      </c>
      <c r="T211" s="14" t="s">
        <v>823</v>
      </c>
      <c r="U211" s="31">
        <v>0</v>
      </c>
      <c r="V211" s="31">
        <v>1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</row>
    <row r="212" spans="1:28" ht="29.1" customHeight="1" x14ac:dyDescent="0.3">
      <c r="A212" s="5" t="s">
        <v>1195</v>
      </c>
      <c r="B212" s="29" t="s">
        <v>658</v>
      </c>
      <c r="C212" s="5" t="s">
        <v>136</v>
      </c>
      <c r="D212" s="10">
        <v>1</v>
      </c>
      <c r="E212" s="27">
        <f>TRUNC(SUMIF(V210:V212, RIGHTB(O212, 1), H210:H212)*U212, 2)</f>
        <v>119.3</v>
      </c>
      <c r="F212" s="27">
        <f>TRUNC(D212*E212,2)</f>
        <v>119.3</v>
      </c>
      <c r="G212" s="27">
        <v>0</v>
      </c>
      <c r="H212" s="27">
        <f>TRUNC(D212*G212,2)</f>
        <v>0</v>
      </c>
      <c r="I212" s="27">
        <v>0</v>
      </c>
      <c r="J212" s="27">
        <f>TRUNC(D212*I212,2)</f>
        <v>0</v>
      </c>
      <c r="K212" s="27">
        <f t="shared" si="45"/>
        <v>119.3</v>
      </c>
      <c r="L212" s="27">
        <f t="shared" si="45"/>
        <v>119.3</v>
      </c>
      <c r="M212" s="29"/>
      <c r="N212" s="7" t="s">
        <v>36</v>
      </c>
      <c r="O212" s="14" t="s">
        <v>572</v>
      </c>
      <c r="P212" s="14" t="s">
        <v>823</v>
      </c>
      <c r="Q212" s="14" t="s">
        <v>823</v>
      </c>
      <c r="R212" s="14" t="s">
        <v>228</v>
      </c>
      <c r="S212" s="31">
        <v>30</v>
      </c>
      <c r="T212" s="14" t="s">
        <v>277</v>
      </c>
      <c r="U212" s="31">
        <v>0.02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</row>
    <row r="213" spans="1:28" ht="29.1" customHeight="1" x14ac:dyDescent="0.3">
      <c r="A213" s="5" t="s">
        <v>621</v>
      </c>
      <c r="B213" s="5" t="s">
        <v>823</v>
      </c>
      <c r="C213" s="5" t="s">
        <v>823</v>
      </c>
      <c r="D213" s="5" t="s">
        <v>823</v>
      </c>
      <c r="E213" s="28">
        <v>0</v>
      </c>
      <c r="F213" s="28">
        <f>TRUNC(SUMIF(R210:R212, " ", F210:F212),0)</f>
        <v>119</v>
      </c>
      <c r="G213" s="28">
        <v>0</v>
      </c>
      <c r="H213" s="28">
        <f>TRUNC(SUMIF(R210:R212, " ", H210:H212),0)</f>
        <v>5965</v>
      </c>
      <c r="I213" s="28">
        <v>0</v>
      </c>
      <c r="J213" s="27">
        <f>TRUNC(SUMIF(R210:R212, " ", J210:J212),0)</f>
        <v>0</v>
      </c>
      <c r="K213" s="20" t="s">
        <v>823</v>
      </c>
      <c r="L213" s="28">
        <f>F213+H213+J213</f>
        <v>6084</v>
      </c>
      <c r="M213" s="29"/>
      <c r="N213" s="24" t="s">
        <v>747</v>
      </c>
      <c r="O213" s="4" t="s">
        <v>747</v>
      </c>
    </row>
    <row r="214" spans="1:28" ht="29.1" customHeight="1" x14ac:dyDescent="0.3">
      <c r="A214" s="5" t="s">
        <v>823</v>
      </c>
      <c r="B214" s="5" t="s">
        <v>823</v>
      </c>
      <c r="C214" s="5" t="s">
        <v>823</v>
      </c>
      <c r="D214" s="5" t="s">
        <v>823</v>
      </c>
      <c r="E214" s="5" t="s">
        <v>823</v>
      </c>
      <c r="F214" s="5" t="s">
        <v>823</v>
      </c>
      <c r="G214" s="5" t="s">
        <v>823</v>
      </c>
      <c r="H214" s="5" t="s">
        <v>823</v>
      </c>
      <c r="I214" s="5" t="s">
        <v>823</v>
      </c>
      <c r="J214" s="5" t="s">
        <v>823</v>
      </c>
      <c r="K214" s="5" t="s">
        <v>823</v>
      </c>
      <c r="L214" s="5" t="s">
        <v>823</v>
      </c>
      <c r="M214" s="5" t="s">
        <v>823</v>
      </c>
    </row>
    <row r="215" spans="1:28" ht="29.1" customHeight="1" x14ac:dyDescent="0.3">
      <c r="A215" s="48" t="s">
        <v>1096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50"/>
      <c r="N215" s="7" t="s">
        <v>1018</v>
      </c>
    </row>
    <row r="216" spans="1:28" ht="29.1" customHeight="1" x14ac:dyDescent="0.3">
      <c r="A216" s="5" t="s">
        <v>465</v>
      </c>
      <c r="B216" s="29" t="s">
        <v>269</v>
      </c>
      <c r="C216" s="5" t="s">
        <v>656</v>
      </c>
      <c r="D216" s="10">
        <v>1.4E-2</v>
      </c>
      <c r="E216" s="28">
        <f>단가대비표!U91</f>
        <v>0</v>
      </c>
      <c r="F216" s="27">
        <f>TRUNC(D216*E216,2)</f>
        <v>0</v>
      </c>
      <c r="G216" s="28">
        <f>단가대비표!V91</f>
        <v>255231</v>
      </c>
      <c r="H216" s="27">
        <f>TRUNC(D216*G216,2)</f>
        <v>3573.23</v>
      </c>
      <c r="I216" s="28">
        <f>단가대비표!AE91</f>
        <v>0</v>
      </c>
      <c r="J216" s="27">
        <f>TRUNC(D216*I216,2)</f>
        <v>0</v>
      </c>
      <c r="K216" s="27">
        <f t="shared" ref="K216:L218" si="46">E216+G216+I216</f>
        <v>255231</v>
      </c>
      <c r="L216" s="27">
        <f t="shared" si="46"/>
        <v>3573.23</v>
      </c>
      <c r="M216" s="29" t="s">
        <v>988</v>
      </c>
      <c r="N216" s="7" t="s">
        <v>1018</v>
      </c>
      <c r="O216" s="14" t="s">
        <v>873</v>
      </c>
      <c r="P216" s="14" t="s">
        <v>823</v>
      </c>
      <c r="Q216" s="14" t="s">
        <v>823</v>
      </c>
      <c r="R216" s="14" t="s">
        <v>228</v>
      </c>
      <c r="S216" s="31">
        <v>10</v>
      </c>
      <c r="T216" s="14" t="s">
        <v>823</v>
      </c>
      <c r="U216" s="31">
        <v>0</v>
      </c>
      <c r="V216" s="31">
        <v>1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</row>
    <row r="217" spans="1:28" ht="29.1" customHeight="1" x14ac:dyDescent="0.3">
      <c r="A217" s="5" t="s">
        <v>1250</v>
      </c>
      <c r="B217" s="29" t="s">
        <v>269</v>
      </c>
      <c r="C217" s="5" t="s">
        <v>656</v>
      </c>
      <c r="D217" s="10">
        <v>0.01</v>
      </c>
      <c r="E217" s="28">
        <f>단가대비표!U81</f>
        <v>0</v>
      </c>
      <c r="F217" s="27">
        <f>TRUNC(D217*E217,2)</f>
        <v>0</v>
      </c>
      <c r="G217" s="28">
        <f>단가대비표!V81</f>
        <v>171037</v>
      </c>
      <c r="H217" s="27">
        <f>TRUNC(D217*G217,2)</f>
        <v>1710.37</v>
      </c>
      <c r="I217" s="28">
        <f>단가대비표!AE81</f>
        <v>0</v>
      </c>
      <c r="J217" s="27">
        <f>TRUNC(D217*I217,2)</f>
        <v>0</v>
      </c>
      <c r="K217" s="27">
        <f t="shared" si="46"/>
        <v>171037</v>
      </c>
      <c r="L217" s="27">
        <f t="shared" si="46"/>
        <v>1710.37</v>
      </c>
      <c r="M217" s="29" t="s">
        <v>162</v>
      </c>
      <c r="N217" s="7" t="s">
        <v>1018</v>
      </c>
      <c r="O217" s="14" t="s">
        <v>40</v>
      </c>
      <c r="P217" s="14" t="s">
        <v>823</v>
      </c>
      <c r="Q217" s="14" t="s">
        <v>823</v>
      </c>
      <c r="R217" s="14" t="s">
        <v>228</v>
      </c>
      <c r="S217" s="31">
        <v>20</v>
      </c>
      <c r="T217" s="14" t="s">
        <v>823</v>
      </c>
      <c r="U217" s="31">
        <v>0</v>
      </c>
      <c r="V217" s="31">
        <v>1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</row>
    <row r="218" spans="1:28" ht="29.1" customHeight="1" x14ac:dyDescent="0.3">
      <c r="A218" s="5" t="s">
        <v>1195</v>
      </c>
      <c r="B218" s="29" t="s">
        <v>658</v>
      </c>
      <c r="C218" s="5" t="s">
        <v>136</v>
      </c>
      <c r="D218" s="10">
        <v>1</v>
      </c>
      <c r="E218" s="27">
        <f>TRUNC(SUMIF(V216:V218, RIGHTB(O218, 1), H216:H218)*U218, 2)</f>
        <v>105.67</v>
      </c>
      <c r="F218" s="27">
        <f>TRUNC(D218*E218,2)</f>
        <v>105.67</v>
      </c>
      <c r="G218" s="27">
        <v>0</v>
      </c>
      <c r="H218" s="27">
        <f>TRUNC(D218*G218,2)</f>
        <v>0</v>
      </c>
      <c r="I218" s="27">
        <v>0</v>
      </c>
      <c r="J218" s="27">
        <f>TRUNC(D218*I218,2)</f>
        <v>0</v>
      </c>
      <c r="K218" s="27">
        <f t="shared" si="46"/>
        <v>105.67</v>
      </c>
      <c r="L218" s="27">
        <f t="shared" si="46"/>
        <v>105.67</v>
      </c>
      <c r="M218" s="29"/>
      <c r="N218" s="7" t="s">
        <v>1018</v>
      </c>
      <c r="O218" s="14" t="s">
        <v>572</v>
      </c>
      <c r="P218" s="14" t="s">
        <v>823</v>
      </c>
      <c r="Q218" s="14" t="s">
        <v>823</v>
      </c>
      <c r="R218" s="14" t="s">
        <v>228</v>
      </c>
      <c r="S218" s="31">
        <v>30</v>
      </c>
      <c r="T218" s="14" t="s">
        <v>604</v>
      </c>
      <c r="U218" s="31">
        <v>0.02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</row>
    <row r="219" spans="1:28" ht="29.1" customHeight="1" x14ac:dyDescent="0.3">
      <c r="A219" s="5" t="s">
        <v>621</v>
      </c>
      <c r="B219" s="5" t="s">
        <v>823</v>
      </c>
      <c r="C219" s="5" t="s">
        <v>823</v>
      </c>
      <c r="D219" s="5" t="s">
        <v>823</v>
      </c>
      <c r="E219" s="28">
        <v>0</v>
      </c>
      <c r="F219" s="28">
        <f>TRUNC(SUMIF(R216:R218, " ", F216:F218),0)</f>
        <v>105</v>
      </c>
      <c r="G219" s="28">
        <v>0</v>
      </c>
      <c r="H219" s="28">
        <f>TRUNC(SUMIF(R216:R218, " ", H216:H218),0)</f>
        <v>5283</v>
      </c>
      <c r="I219" s="28">
        <v>0</v>
      </c>
      <c r="J219" s="27">
        <f>TRUNC(SUMIF(R216:R218, " ", J216:J218),0)</f>
        <v>0</v>
      </c>
      <c r="K219" s="20" t="s">
        <v>823</v>
      </c>
      <c r="L219" s="28">
        <f>F219+H219+J219</f>
        <v>5388</v>
      </c>
      <c r="M219" s="29"/>
      <c r="N219" s="24" t="s">
        <v>747</v>
      </c>
      <c r="O219" s="4" t="s">
        <v>747</v>
      </c>
    </row>
    <row r="220" spans="1:28" ht="29.1" customHeight="1" x14ac:dyDescent="0.3">
      <c r="A220" s="5" t="s">
        <v>823</v>
      </c>
      <c r="B220" s="5" t="s">
        <v>823</v>
      </c>
      <c r="C220" s="5" t="s">
        <v>823</v>
      </c>
      <c r="D220" s="5" t="s">
        <v>823</v>
      </c>
      <c r="E220" s="5" t="s">
        <v>823</v>
      </c>
      <c r="F220" s="5" t="s">
        <v>823</v>
      </c>
      <c r="G220" s="5" t="s">
        <v>823</v>
      </c>
      <c r="H220" s="5" t="s">
        <v>823</v>
      </c>
      <c r="I220" s="5" t="s">
        <v>823</v>
      </c>
      <c r="J220" s="5" t="s">
        <v>823</v>
      </c>
      <c r="K220" s="5" t="s">
        <v>823</v>
      </c>
      <c r="L220" s="5" t="s">
        <v>823</v>
      </c>
      <c r="M220" s="5" t="s">
        <v>823</v>
      </c>
    </row>
    <row r="221" spans="1:28" ht="29.1" customHeight="1" x14ac:dyDescent="0.3">
      <c r="A221" s="48" t="s">
        <v>865</v>
      </c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50"/>
      <c r="N221" s="7" t="s">
        <v>966</v>
      </c>
    </row>
    <row r="222" spans="1:28" ht="29.1" customHeight="1" x14ac:dyDescent="0.3">
      <c r="A222" s="5" t="s">
        <v>323</v>
      </c>
      <c r="B222" s="29" t="s">
        <v>269</v>
      </c>
      <c r="C222" s="5" t="s">
        <v>656</v>
      </c>
      <c r="D222" s="10">
        <v>3.2000000000000001E-2</v>
      </c>
      <c r="E222" s="28">
        <f>단가대비표!U84</f>
        <v>0</v>
      </c>
      <c r="F222" s="27">
        <f>TRUNC(D222*E222,2)</f>
        <v>0</v>
      </c>
      <c r="G222" s="28">
        <f>단가대비표!V84</f>
        <v>237686</v>
      </c>
      <c r="H222" s="27">
        <f>TRUNC(D222*G222,2)</f>
        <v>7605.95</v>
      </c>
      <c r="I222" s="28">
        <f>단가대비표!AE84</f>
        <v>0</v>
      </c>
      <c r="J222" s="27">
        <f>TRUNC(D222*I222,2)</f>
        <v>0</v>
      </c>
      <c r="K222" s="27">
        <f t="shared" ref="K222:L224" si="47">E222+G222+I222</f>
        <v>237686</v>
      </c>
      <c r="L222" s="27">
        <f t="shared" si="47"/>
        <v>7605.95</v>
      </c>
      <c r="M222" s="29" t="s">
        <v>650</v>
      </c>
      <c r="N222" s="7" t="s">
        <v>966</v>
      </c>
      <c r="O222" s="14" t="s">
        <v>1027</v>
      </c>
      <c r="P222" s="14" t="s">
        <v>823</v>
      </c>
      <c r="Q222" s="14" t="s">
        <v>823</v>
      </c>
      <c r="R222" s="14" t="s">
        <v>228</v>
      </c>
      <c r="S222" s="31">
        <v>20</v>
      </c>
      <c r="T222" s="14" t="s">
        <v>336</v>
      </c>
      <c r="U222" s="31">
        <v>0</v>
      </c>
      <c r="V222" s="31">
        <v>1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</row>
    <row r="223" spans="1:28" ht="29.1" customHeight="1" x14ac:dyDescent="0.3">
      <c r="A223" s="5" t="s">
        <v>1250</v>
      </c>
      <c r="B223" s="29" t="s">
        <v>269</v>
      </c>
      <c r="C223" s="5" t="s">
        <v>656</v>
      </c>
      <c r="D223" s="10">
        <v>1.6E-2</v>
      </c>
      <c r="E223" s="28">
        <f>단가대비표!U81</f>
        <v>0</v>
      </c>
      <c r="F223" s="27">
        <f>TRUNC(D223*E223,2)</f>
        <v>0</v>
      </c>
      <c r="G223" s="28">
        <f>단가대비표!V81</f>
        <v>171037</v>
      </c>
      <c r="H223" s="27">
        <f>TRUNC(D223*G223,2)</f>
        <v>2736.59</v>
      </c>
      <c r="I223" s="28">
        <f>단가대비표!AE81</f>
        <v>0</v>
      </c>
      <c r="J223" s="27">
        <f>TRUNC(D223*I223,2)</f>
        <v>0</v>
      </c>
      <c r="K223" s="27">
        <f t="shared" si="47"/>
        <v>171037</v>
      </c>
      <c r="L223" s="27">
        <f t="shared" si="47"/>
        <v>2736.59</v>
      </c>
      <c r="M223" s="29" t="s">
        <v>162</v>
      </c>
      <c r="N223" s="7" t="s">
        <v>966</v>
      </c>
      <c r="O223" s="14" t="s">
        <v>40</v>
      </c>
      <c r="P223" s="14" t="s">
        <v>823</v>
      </c>
      <c r="Q223" s="14" t="s">
        <v>823</v>
      </c>
      <c r="R223" s="14" t="s">
        <v>228</v>
      </c>
      <c r="S223" s="31">
        <v>30</v>
      </c>
      <c r="T223" s="14" t="s">
        <v>1148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</row>
    <row r="224" spans="1:28" ht="29.1" customHeight="1" x14ac:dyDescent="0.3">
      <c r="A224" s="5" t="s">
        <v>1195</v>
      </c>
      <c r="B224" s="29" t="s">
        <v>1198</v>
      </c>
      <c r="C224" s="5" t="s">
        <v>136</v>
      </c>
      <c r="D224" s="10">
        <v>1</v>
      </c>
      <c r="E224" s="27">
        <v>0</v>
      </c>
      <c r="F224" s="27">
        <f>TRUNC(D224*E224,2)</f>
        <v>0</v>
      </c>
      <c r="G224" s="27">
        <v>0</v>
      </c>
      <c r="H224" s="27">
        <f>TRUNC(D224*G224,2)</f>
        <v>0</v>
      </c>
      <c r="I224" s="27">
        <f>TRUNC(SUMIF(V222:V224, RIGHTB(O224, 1), H222:H224)*U224, 2)</f>
        <v>76.05</v>
      </c>
      <c r="J224" s="27">
        <f>TRUNC(D224*I224,2)</f>
        <v>76.05</v>
      </c>
      <c r="K224" s="27">
        <f t="shared" si="47"/>
        <v>76.05</v>
      </c>
      <c r="L224" s="27">
        <f t="shared" si="47"/>
        <v>76.05</v>
      </c>
      <c r="M224" s="29"/>
      <c r="N224" s="7" t="s">
        <v>966</v>
      </c>
      <c r="O224" s="14" t="s">
        <v>572</v>
      </c>
      <c r="P224" s="14" t="s">
        <v>823</v>
      </c>
      <c r="Q224" s="14" t="s">
        <v>823</v>
      </c>
      <c r="R224" s="14" t="s">
        <v>228</v>
      </c>
      <c r="S224" s="31">
        <v>40</v>
      </c>
      <c r="T224" s="14" t="s">
        <v>387</v>
      </c>
      <c r="U224" s="31">
        <v>0.01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</row>
    <row r="225" spans="1:28" ht="29.1" customHeight="1" x14ac:dyDescent="0.3">
      <c r="A225" s="5" t="s">
        <v>621</v>
      </c>
      <c r="B225" s="5" t="s">
        <v>823</v>
      </c>
      <c r="C225" s="5" t="s">
        <v>823</v>
      </c>
      <c r="D225" s="5" t="s">
        <v>823</v>
      </c>
      <c r="E225" s="28">
        <v>0</v>
      </c>
      <c r="F225" s="28">
        <f>TRUNC(SUMIF(R222:R224, " ", F222:F224),0)</f>
        <v>0</v>
      </c>
      <c r="G225" s="28">
        <v>0</v>
      </c>
      <c r="H225" s="28">
        <f>TRUNC(SUMIF(R222:R224, " ", H222:H224),0)</f>
        <v>10342</v>
      </c>
      <c r="I225" s="28">
        <v>0</v>
      </c>
      <c r="J225" s="27">
        <f>TRUNC(SUMIF(R222:R224, " ", J222:J224),0)</f>
        <v>76</v>
      </c>
      <c r="K225" s="20" t="s">
        <v>823</v>
      </c>
      <c r="L225" s="28">
        <f>F225+H225+J225</f>
        <v>10418</v>
      </c>
      <c r="M225" s="29"/>
      <c r="N225" s="24" t="s">
        <v>747</v>
      </c>
      <c r="O225" s="4" t="s">
        <v>747</v>
      </c>
    </row>
    <row r="226" spans="1:28" ht="29.1" customHeight="1" x14ac:dyDescent="0.3">
      <c r="A226" s="5" t="s">
        <v>823</v>
      </c>
      <c r="B226" s="5" t="s">
        <v>823</v>
      </c>
      <c r="C226" s="5" t="s">
        <v>823</v>
      </c>
      <c r="D226" s="5" t="s">
        <v>823</v>
      </c>
      <c r="E226" s="5" t="s">
        <v>823</v>
      </c>
      <c r="F226" s="5" t="s">
        <v>823</v>
      </c>
      <c r="G226" s="5" t="s">
        <v>823</v>
      </c>
      <c r="H226" s="5" t="s">
        <v>823</v>
      </c>
      <c r="I226" s="5" t="s">
        <v>823</v>
      </c>
      <c r="J226" s="5" t="s">
        <v>823</v>
      </c>
      <c r="K226" s="5" t="s">
        <v>823</v>
      </c>
      <c r="L226" s="5" t="s">
        <v>823</v>
      </c>
      <c r="M226" s="5" t="s">
        <v>823</v>
      </c>
    </row>
    <row r="227" spans="1:28" ht="29.1" customHeight="1" x14ac:dyDescent="0.3">
      <c r="A227" s="48" t="s">
        <v>1051</v>
      </c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50"/>
      <c r="N227" s="7" t="s">
        <v>83</v>
      </c>
    </row>
    <row r="228" spans="1:28" ht="29.1" customHeight="1" x14ac:dyDescent="0.3">
      <c r="A228" s="5" t="s">
        <v>465</v>
      </c>
      <c r="B228" s="29" t="s">
        <v>269</v>
      </c>
      <c r="C228" s="5" t="s">
        <v>656</v>
      </c>
      <c r="D228" s="10">
        <v>1.4E-2</v>
      </c>
      <c r="E228" s="28">
        <f>단가대비표!U91</f>
        <v>0</v>
      </c>
      <c r="F228" s="27">
        <f>TRUNC(D228*E228,2)</f>
        <v>0</v>
      </c>
      <c r="G228" s="28">
        <f>단가대비표!V91</f>
        <v>255231</v>
      </c>
      <c r="H228" s="27">
        <f>TRUNC(D228*G228,2)</f>
        <v>3573.23</v>
      </c>
      <c r="I228" s="28">
        <f>단가대비표!AE91</f>
        <v>0</v>
      </c>
      <c r="J228" s="27">
        <f>TRUNC(D228*I228,2)</f>
        <v>0</v>
      </c>
      <c r="K228" s="27">
        <f t="shared" ref="K228:L230" si="48">E228+G228+I228</f>
        <v>255231</v>
      </c>
      <c r="L228" s="27">
        <f t="shared" si="48"/>
        <v>3573.23</v>
      </c>
      <c r="M228" s="29" t="s">
        <v>988</v>
      </c>
      <c r="N228" s="7" t="s">
        <v>83</v>
      </c>
      <c r="O228" s="14" t="s">
        <v>873</v>
      </c>
      <c r="P228" s="14" t="s">
        <v>823</v>
      </c>
      <c r="Q228" s="14" t="s">
        <v>823</v>
      </c>
      <c r="R228" s="14" t="s">
        <v>228</v>
      </c>
      <c r="S228" s="31">
        <v>10</v>
      </c>
      <c r="T228" s="14" t="s">
        <v>882</v>
      </c>
      <c r="U228" s="31">
        <v>0</v>
      </c>
      <c r="V228" s="31">
        <v>1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</row>
    <row r="229" spans="1:28" ht="29.1" customHeight="1" x14ac:dyDescent="0.3">
      <c r="A229" s="5" t="s">
        <v>1250</v>
      </c>
      <c r="B229" s="29" t="s">
        <v>269</v>
      </c>
      <c r="C229" s="5" t="s">
        <v>656</v>
      </c>
      <c r="D229" s="10">
        <v>0.01</v>
      </c>
      <c r="E229" s="28">
        <f>단가대비표!U81</f>
        <v>0</v>
      </c>
      <c r="F229" s="27">
        <f>TRUNC(D229*E229,2)</f>
        <v>0</v>
      </c>
      <c r="G229" s="28">
        <f>단가대비표!V81</f>
        <v>171037</v>
      </c>
      <c r="H229" s="27">
        <f>TRUNC(D229*G229,2)</f>
        <v>1710.37</v>
      </c>
      <c r="I229" s="28">
        <f>단가대비표!AE81</f>
        <v>0</v>
      </c>
      <c r="J229" s="27">
        <f>TRUNC(D229*I229,2)</f>
        <v>0</v>
      </c>
      <c r="K229" s="27">
        <f t="shared" si="48"/>
        <v>171037</v>
      </c>
      <c r="L229" s="27">
        <f t="shared" si="48"/>
        <v>1710.37</v>
      </c>
      <c r="M229" s="29" t="s">
        <v>162</v>
      </c>
      <c r="N229" s="7" t="s">
        <v>83</v>
      </c>
      <c r="O229" s="14" t="s">
        <v>40</v>
      </c>
      <c r="P229" s="14" t="s">
        <v>823</v>
      </c>
      <c r="Q229" s="14" t="s">
        <v>823</v>
      </c>
      <c r="R229" s="14" t="s">
        <v>228</v>
      </c>
      <c r="S229" s="31">
        <v>20</v>
      </c>
      <c r="T229" s="14" t="s">
        <v>1321</v>
      </c>
      <c r="U229" s="31">
        <v>0</v>
      </c>
      <c r="V229" s="31">
        <v>1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</row>
    <row r="230" spans="1:28" ht="29.1" customHeight="1" x14ac:dyDescent="0.3">
      <c r="A230" s="5" t="s">
        <v>1195</v>
      </c>
      <c r="B230" s="29" t="s">
        <v>1198</v>
      </c>
      <c r="C230" s="5" t="s">
        <v>136</v>
      </c>
      <c r="D230" s="10">
        <v>1</v>
      </c>
      <c r="E230" s="27">
        <v>0</v>
      </c>
      <c r="F230" s="27">
        <f>TRUNC(D230*E230,2)</f>
        <v>0</v>
      </c>
      <c r="G230" s="27">
        <v>0</v>
      </c>
      <c r="H230" s="27">
        <f>TRUNC(D230*G230,2)</f>
        <v>0</v>
      </c>
      <c r="I230" s="27">
        <f>TRUNC(SUMIF(V228:V230, RIGHTB(O230, 1), H228:H230)*U230, 2)</f>
        <v>52.83</v>
      </c>
      <c r="J230" s="27">
        <f>TRUNC(D230*I230,2)</f>
        <v>52.83</v>
      </c>
      <c r="K230" s="27">
        <f t="shared" si="48"/>
        <v>52.83</v>
      </c>
      <c r="L230" s="27">
        <f t="shared" si="48"/>
        <v>52.83</v>
      </c>
      <c r="M230" s="29"/>
      <c r="N230" s="7" t="s">
        <v>83</v>
      </c>
      <c r="O230" s="14" t="s">
        <v>572</v>
      </c>
      <c r="P230" s="14" t="s">
        <v>823</v>
      </c>
      <c r="Q230" s="14" t="s">
        <v>823</v>
      </c>
      <c r="R230" s="14" t="s">
        <v>228</v>
      </c>
      <c r="S230" s="31">
        <v>30</v>
      </c>
      <c r="T230" s="14" t="s">
        <v>387</v>
      </c>
      <c r="U230" s="31">
        <v>0.01</v>
      </c>
      <c r="V230" s="31">
        <v>0</v>
      </c>
      <c r="W230" s="31">
        <v>0</v>
      </c>
      <c r="X230" s="31">
        <v>0</v>
      </c>
      <c r="Y230" s="31">
        <v>0</v>
      </c>
      <c r="Z230" s="31">
        <v>0</v>
      </c>
      <c r="AA230" s="31">
        <v>0</v>
      </c>
      <c r="AB230" s="31">
        <v>0</v>
      </c>
    </row>
    <row r="231" spans="1:28" ht="29.1" customHeight="1" x14ac:dyDescent="0.3">
      <c r="A231" s="5" t="s">
        <v>621</v>
      </c>
      <c r="B231" s="5" t="s">
        <v>823</v>
      </c>
      <c r="C231" s="5" t="s">
        <v>823</v>
      </c>
      <c r="D231" s="5" t="s">
        <v>823</v>
      </c>
      <c r="E231" s="28">
        <v>0</v>
      </c>
      <c r="F231" s="28">
        <f>TRUNC(SUMIF(R228:R230, " ", F228:F230),0)</f>
        <v>0</v>
      </c>
      <c r="G231" s="28">
        <v>0</v>
      </c>
      <c r="H231" s="28">
        <f>TRUNC(SUMIF(R228:R230, " ", H228:H230),0)</f>
        <v>5283</v>
      </c>
      <c r="I231" s="28">
        <v>0</v>
      </c>
      <c r="J231" s="27">
        <f>TRUNC(SUMIF(R228:R230, " ", J228:J230),0)</f>
        <v>52</v>
      </c>
      <c r="K231" s="20" t="s">
        <v>823</v>
      </c>
      <c r="L231" s="28">
        <f>F231+H231+J231</f>
        <v>5335</v>
      </c>
      <c r="M231" s="29"/>
      <c r="N231" s="24" t="s">
        <v>747</v>
      </c>
      <c r="O231" s="4" t="s">
        <v>747</v>
      </c>
    </row>
    <row r="232" spans="1:28" ht="29.1" customHeight="1" x14ac:dyDescent="0.3">
      <c r="A232" s="5" t="s">
        <v>823</v>
      </c>
      <c r="B232" s="5" t="s">
        <v>823</v>
      </c>
      <c r="C232" s="5" t="s">
        <v>823</v>
      </c>
      <c r="D232" s="5" t="s">
        <v>823</v>
      </c>
      <c r="E232" s="5" t="s">
        <v>823</v>
      </c>
      <c r="F232" s="5" t="s">
        <v>823</v>
      </c>
      <c r="G232" s="5" t="s">
        <v>823</v>
      </c>
      <c r="H232" s="5" t="s">
        <v>823</v>
      </c>
      <c r="I232" s="5" t="s">
        <v>823</v>
      </c>
      <c r="J232" s="5" t="s">
        <v>823</v>
      </c>
      <c r="K232" s="5" t="s">
        <v>823</v>
      </c>
      <c r="L232" s="5" t="s">
        <v>823</v>
      </c>
      <c r="M232" s="5" t="s">
        <v>823</v>
      </c>
    </row>
    <row r="233" spans="1:28" ht="29.1" customHeight="1" x14ac:dyDescent="0.3">
      <c r="A233" s="48" t="s">
        <v>552</v>
      </c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50"/>
      <c r="N233" s="7" t="s">
        <v>1286</v>
      </c>
    </row>
    <row r="234" spans="1:28" ht="29.1" customHeight="1" x14ac:dyDescent="0.3">
      <c r="A234" s="5" t="s">
        <v>465</v>
      </c>
      <c r="B234" s="29" t="s">
        <v>269</v>
      </c>
      <c r="C234" s="5" t="s">
        <v>656</v>
      </c>
      <c r="D234" s="10">
        <v>2.5000000000000001E-2</v>
      </c>
      <c r="E234" s="28">
        <f>단가대비표!U91</f>
        <v>0</v>
      </c>
      <c r="F234" s="27">
        <f>TRUNC(D234*E234,2)</f>
        <v>0</v>
      </c>
      <c r="G234" s="28">
        <f>단가대비표!V91</f>
        <v>255231</v>
      </c>
      <c r="H234" s="27">
        <f>TRUNC(D234*G234,2)</f>
        <v>6380.77</v>
      </c>
      <c r="I234" s="28">
        <f>단가대비표!AE91</f>
        <v>0</v>
      </c>
      <c r="J234" s="27">
        <f>TRUNC(D234*I234,2)</f>
        <v>0</v>
      </c>
      <c r="K234" s="27">
        <f>E234+G234+I234</f>
        <v>255231</v>
      </c>
      <c r="L234" s="27">
        <f>F234+H234+J234</f>
        <v>6380.77</v>
      </c>
      <c r="M234" s="29" t="s">
        <v>988</v>
      </c>
      <c r="N234" s="7" t="s">
        <v>1286</v>
      </c>
      <c r="O234" s="14" t="s">
        <v>873</v>
      </c>
      <c r="P234" s="14" t="s">
        <v>823</v>
      </c>
      <c r="Q234" s="14" t="s">
        <v>823</v>
      </c>
      <c r="R234" s="14" t="s">
        <v>228</v>
      </c>
      <c r="S234" s="31">
        <v>10</v>
      </c>
      <c r="T234" s="14" t="s">
        <v>613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</row>
    <row r="235" spans="1:28" ht="29.1" customHeight="1" x14ac:dyDescent="0.3">
      <c r="A235" s="5" t="s">
        <v>1250</v>
      </c>
      <c r="B235" s="29" t="s">
        <v>269</v>
      </c>
      <c r="C235" s="5" t="s">
        <v>656</v>
      </c>
      <c r="D235" s="10">
        <v>1.2500000000000001E-2</v>
      </c>
      <c r="E235" s="28">
        <f>단가대비표!U81</f>
        <v>0</v>
      </c>
      <c r="F235" s="27">
        <f>TRUNC(D235*E235,2)</f>
        <v>0</v>
      </c>
      <c r="G235" s="28">
        <f>단가대비표!V81</f>
        <v>171037</v>
      </c>
      <c r="H235" s="27">
        <f>TRUNC(D235*G235,2)</f>
        <v>2137.96</v>
      </c>
      <c r="I235" s="28">
        <f>단가대비표!AE81</f>
        <v>0</v>
      </c>
      <c r="J235" s="27">
        <f>TRUNC(D235*I235,2)</f>
        <v>0</v>
      </c>
      <c r="K235" s="27">
        <f>E235+G235+I235</f>
        <v>171037</v>
      </c>
      <c r="L235" s="27">
        <f>F235+H235+J235</f>
        <v>2137.96</v>
      </c>
      <c r="M235" s="29" t="s">
        <v>162</v>
      </c>
      <c r="N235" s="7" t="s">
        <v>1286</v>
      </c>
      <c r="O235" s="14" t="s">
        <v>40</v>
      </c>
      <c r="P235" s="14" t="s">
        <v>823</v>
      </c>
      <c r="Q235" s="14" t="s">
        <v>823</v>
      </c>
      <c r="R235" s="14" t="s">
        <v>228</v>
      </c>
      <c r="S235" s="31">
        <v>20</v>
      </c>
      <c r="T235" s="14" t="s">
        <v>876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</row>
    <row r="236" spans="1:28" ht="29.1" customHeight="1" x14ac:dyDescent="0.3">
      <c r="A236" s="5" t="s">
        <v>621</v>
      </c>
      <c r="B236" s="5" t="s">
        <v>823</v>
      </c>
      <c r="C236" s="5" t="s">
        <v>823</v>
      </c>
      <c r="D236" s="5" t="s">
        <v>823</v>
      </c>
      <c r="E236" s="28">
        <v>0</v>
      </c>
      <c r="F236" s="28">
        <f>TRUNC(SUMIF(R234:R235, " ", F234:F235),0)</f>
        <v>0</v>
      </c>
      <c r="G236" s="28">
        <v>0</v>
      </c>
      <c r="H236" s="28">
        <f>TRUNC(SUMIF(R234:R235, " ", H234:H235),0)</f>
        <v>8518</v>
      </c>
      <c r="I236" s="28">
        <v>0</v>
      </c>
      <c r="J236" s="27">
        <f>TRUNC(SUMIF(R234:R235, " ", J234:J235),0)</f>
        <v>0</v>
      </c>
      <c r="K236" s="20" t="s">
        <v>823</v>
      </c>
      <c r="L236" s="28">
        <f>F236+H236+J236</f>
        <v>8518</v>
      </c>
      <c r="M236" s="29"/>
      <c r="N236" s="24" t="s">
        <v>747</v>
      </c>
      <c r="O236" s="4" t="s">
        <v>747</v>
      </c>
    </row>
    <row r="237" spans="1:28" ht="29.1" customHeight="1" x14ac:dyDescent="0.3">
      <c r="A237" s="5" t="s">
        <v>823</v>
      </c>
      <c r="B237" s="5" t="s">
        <v>823</v>
      </c>
      <c r="C237" s="5" t="s">
        <v>823</v>
      </c>
      <c r="D237" s="5" t="s">
        <v>823</v>
      </c>
      <c r="E237" s="5" t="s">
        <v>823</v>
      </c>
      <c r="F237" s="5" t="s">
        <v>823</v>
      </c>
      <c r="G237" s="5" t="s">
        <v>823</v>
      </c>
      <c r="H237" s="5" t="s">
        <v>823</v>
      </c>
      <c r="I237" s="5" t="s">
        <v>823</v>
      </c>
      <c r="J237" s="5" t="s">
        <v>823</v>
      </c>
      <c r="K237" s="5" t="s">
        <v>823</v>
      </c>
      <c r="L237" s="5" t="s">
        <v>823</v>
      </c>
      <c r="M237" s="5" t="s">
        <v>823</v>
      </c>
    </row>
    <row r="238" spans="1:28" ht="29.1" customHeight="1" x14ac:dyDescent="0.3">
      <c r="A238" s="48" t="s">
        <v>960</v>
      </c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50"/>
      <c r="N238" s="7" t="s">
        <v>1263</v>
      </c>
    </row>
    <row r="239" spans="1:28" ht="29.1" customHeight="1" x14ac:dyDescent="0.3">
      <c r="A239" s="5" t="s">
        <v>465</v>
      </c>
      <c r="B239" s="29" t="s">
        <v>269</v>
      </c>
      <c r="C239" s="5" t="s">
        <v>656</v>
      </c>
      <c r="D239" s="10">
        <v>8.9999999999999993E-3</v>
      </c>
      <c r="E239" s="28">
        <f>단가대비표!U91</f>
        <v>0</v>
      </c>
      <c r="F239" s="27">
        <f>TRUNC(D239*E239,2)</f>
        <v>0</v>
      </c>
      <c r="G239" s="28">
        <f>단가대비표!V91</f>
        <v>255231</v>
      </c>
      <c r="H239" s="27">
        <f>TRUNC(D239*G239,2)</f>
        <v>2297.0700000000002</v>
      </c>
      <c r="I239" s="28">
        <f>단가대비표!AE91</f>
        <v>0</v>
      </c>
      <c r="J239" s="27">
        <f>TRUNC(D239*I239,2)</f>
        <v>0</v>
      </c>
      <c r="K239" s="27">
        <f>E239+G239+I239</f>
        <v>255231</v>
      </c>
      <c r="L239" s="27">
        <f>F239+H239+J239</f>
        <v>2297.0700000000002</v>
      </c>
      <c r="M239" s="29" t="s">
        <v>988</v>
      </c>
      <c r="N239" s="7" t="s">
        <v>1263</v>
      </c>
      <c r="O239" s="14" t="s">
        <v>873</v>
      </c>
      <c r="P239" s="14" t="s">
        <v>823</v>
      </c>
      <c r="Q239" s="14" t="s">
        <v>823</v>
      </c>
      <c r="R239" s="14" t="s">
        <v>228</v>
      </c>
      <c r="S239" s="31">
        <v>10</v>
      </c>
      <c r="T239" s="14" t="s">
        <v>1254</v>
      </c>
      <c r="U239" s="31">
        <v>0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</row>
    <row r="240" spans="1:28" ht="29.1" customHeight="1" x14ac:dyDescent="0.3">
      <c r="A240" s="5" t="s">
        <v>1250</v>
      </c>
      <c r="B240" s="29" t="s">
        <v>269</v>
      </c>
      <c r="C240" s="5" t="s">
        <v>656</v>
      </c>
      <c r="D240" s="10">
        <v>6.0000000000000001E-3</v>
      </c>
      <c r="E240" s="28">
        <f>단가대비표!U81</f>
        <v>0</v>
      </c>
      <c r="F240" s="27">
        <f>TRUNC(D240*E240,2)</f>
        <v>0</v>
      </c>
      <c r="G240" s="28">
        <f>단가대비표!V81</f>
        <v>171037</v>
      </c>
      <c r="H240" s="27">
        <f>TRUNC(D240*G240,2)</f>
        <v>1026.22</v>
      </c>
      <c r="I240" s="28">
        <f>단가대비표!AE81</f>
        <v>0</v>
      </c>
      <c r="J240" s="27">
        <f>TRUNC(D240*I240,2)</f>
        <v>0</v>
      </c>
      <c r="K240" s="27">
        <f>E240+G240+I240</f>
        <v>171037</v>
      </c>
      <c r="L240" s="27">
        <f>F240+H240+J240</f>
        <v>1026.22</v>
      </c>
      <c r="M240" s="29" t="s">
        <v>162</v>
      </c>
      <c r="N240" s="7" t="s">
        <v>1263</v>
      </c>
      <c r="O240" s="14" t="s">
        <v>40</v>
      </c>
      <c r="P240" s="14" t="s">
        <v>823</v>
      </c>
      <c r="Q240" s="14" t="s">
        <v>823</v>
      </c>
      <c r="R240" s="14" t="s">
        <v>228</v>
      </c>
      <c r="S240" s="31">
        <v>20</v>
      </c>
      <c r="T240" s="14" t="s">
        <v>94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</row>
    <row r="241" spans="1:28" ht="29.1" customHeight="1" x14ac:dyDescent="0.3">
      <c r="A241" s="5" t="s">
        <v>621</v>
      </c>
      <c r="B241" s="5" t="s">
        <v>823</v>
      </c>
      <c r="C241" s="5" t="s">
        <v>823</v>
      </c>
      <c r="D241" s="5" t="s">
        <v>823</v>
      </c>
      <c r="E241" s="28">
        <v>0</v>
      </c>
      <c r="F241" s="28">
        <f>TRUNC(SUMIF(R239:R240, " ", F239:F240),0)</f>
        <v>0</v>
      </c>
      <c r="G241" s="28">
        <v>0</v>
      </c>
      <c r="H241" s="28">
        <f>TRUNC(SUMIF(R239:R240, " ", H239:H240),0)</f>
        <v>3323</v>
      </c>
      <c r="I241" s="28">
        <v>0</v>
      </c>
      <c r="J241" s="27">
        <f>TRUNC(SUMIF(R239:R240, " ", J239:J240),0)</f>
        <v>0</v>
      </c>
      <c r="K241" s="20" t="s">
        <v>823</v>
      </c>
      <c r="L241" s="28">
        <f>F241+H241+J241</f>
        <v>3323</v>
      </c>
      <c r="M241" s="29"/>
      <c r="N241" s="24" t="s">
        <v>747</v>
      </c>
      <c r="O241" s="4" t="s">
        <v>747</v>
      </c>
    </row>
    <row r="242" spans="1:28" ht="29.1" customHeight="1" x14ac:dyDescent="0.3">
      <c r="A242" s="5" t="s">
        <v>823</v>
      </c>
      <c r="B242" s="5" t="s">
        <v>823</v>
      </c>
      <c r="C242" s="5" t="s">
        <v>823</v>
      </c>
      <c r="D242" s="5" t="s">
        <v>823</v>
      </c>
      <c r="E242" s="5" t="s">
        <v>823</v>
      </c>
      <c r="F242" s="5" t="s">
        <v>823</v>
      </c>
      <c r="G242" s="5" t="s">
        <v>823</v>
      </c>
      <c r="H242" s="5" t="s">
        <v>823</v>
      </c>
      <c r="I242" s="5" t="s">
        <v>823</v>
      </c>
      <c r="J242" s="5" t="s">
        <v>823</v>
      </c>
      <c r="K242" s="5" t="s">
        <v>823</v>
      </c>
      <c r="L242" s="5" t="s">
        <v>823</v>
      </c>
      <c r="M242" s="5" t="s">
        <v>823</v>
      </c>
    </row>
    <row r="243" spans="1:28" ht="29.1" customHeight="1" x14ac:dyDescent="0.3">
      <c r="A243" s="48" t="s">
        <v>888</v>
      </c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50"/>
      <c r="N243" s="7" t="s">
        <v>1058</v>
      </c>
    </row>
    <row r="244" spans="1:28" ht="29.1" customHeight="1" x14ac:dyDescent="0.3">
      <c r="A244" s="5" t="s">
        <v>323</v>
      </c>
      <c r="B244" s="29" t="s">
        <v>269</v>
      </c>
      <c r="C244" s="5" t="s">
        <v>656</v>
      </c>
      <c r="D244" s="10">
        <v>3.2550000000000003E-2</v>
      </c>
      <c r="E244" s="28">
        <f>단가대비표!U84</f>
        <v>0</v>
      </c>
      <c r="F244" s="27">
        <f>TRUNC(D244*E244,2)</f>
        <v>0</v>
      </c>
      <c r="G244" s="28">
        <f>단가대비표!V84</f>
        <v>237686</v>
      </c>
      <c r="H244" s="27">
        <f>TRUNC(D244*G244,2)</f>
        <v>7736.67</v>
      </c>
      <c r="I244" s="28">
        <f>단가대비표!AE84</f>
        <v>0</v>
      </c>
      <c r="J244" s="27">
        <f>TRUNC(D244*I244,2)</f>
        <v>0</v>
      </c>
      <c r="K244" s="27">
        <f t="shared" ref="K244:L246" si="49">E244+G244+I244</f>
        <v>237686</v>
      </c>
      <c r="L244" s="27">
        <f t="shared" si="49"/>
        <v>7736.67</v>
      </c>
      <c r="M244" s="29" t="s">
        <v>650</v>
      </c>
      <c r="N244" s="7" t="s">
        <v>1058</v>
      </c>
      <c r="O244" s="14" t="s">
        <v>1027</v>
      </c>
      <c r="P244" s="14" t="s">
        <v>823</v>
      </c>
      <c r="Q244" s="14" t="s">
        <v>823</v>
      </c>
      <c r="R244" s="14" t="s">
        <v>228</v>
      </c>
      <c r="S244" s="31">
        <v>10</v>
      </c>
      <c r="T244" s="14" t="s">
        <v>338</v>
      </c>
      <c r="U244" s="31">
        <v>0</v>
      </c>
      <c r="V244" s="31">
        <v>1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</row>
    <row r="245" spans="1:28" ht="29.1" customHeight="1" x14ac:dyDescent="0.3">
      <c r="A245" s="5" t="s">
        <v>1250</v>
      </c>
      <c r="B245" s="29" t="s">
        <v>269</v>
      </c>
      <c r="C245" s="5" t="s">
        <v>656</v>
      </c>
      <c r="D245" s="10">
        <v>1.6240000000000001E-2</v>
      </c>
      <c r="E245" s="28">
        <f>단가대비표!U81</f>
        <v>0</v>
      </c>
      <c r="F245" s="27">
        <f>TRUNC(D245*E245,2)</f>
        <v>0</v>
      </c>
      <c r="G245" s="28">
        <f>단가대비표!V81</f>
        <v>171037</v>
      </c>
      <c r="H245" s="27">
        <f>TRUNC(D245*G245,2)</f>
        <v>2777.64</v>
      </c>
      <c r="I245" s="28">
        <f>단가대비표!AE81</f>
        <v>0</v>
      </c>
      <c r="J245" s="27">
        <f>TRUNC(D245*I245,2)</f>
        <v>0</v>
      </c>
      <c r="K245" s="27">
        <f t="shared" si="49"/>
        <v>171037</v>
      </c>
      <c r="L245" s="27">
        <f t="shared" si="49"/>
        <v>2777.64</v>
      </c>
      <c r="M245" s="29" t="s">
        <v>162</v>
      </c>
      <c r="N245" s="7" t="s">
        <v>1058</v>
      </c>
      <c r="O245" s="14" t="s">
        <v>40</v>
      </c>
      <c r="P245" s="14" t="s">
        <v>823</v>
      </c>
      <c r="Q245" s="14" t="s">
        <v>823</v>
      </c>
      <c r="R245" s="14" t="s">
        <v>228</v>
      </c>
      <c r="S245" s="31">
        <v>20</v>
      </c>
      <c r="T245" s="14" t="s">
        <v>193</v>
      </c>
      <c r="U245" s="31">
        <v>0</v>
      </c>
      <c r="V245" s="31">
        <v>1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</row>
    <row r="246" spans="1:28" ht="29.1" customHeight="1" x14ac:dyDescent="0.3">
      <c r="A246" s="5" t="s">
        <v>1195</v>
      </c>
      <c r="B246" s="29" t="s">
        <v>1198</v>
      </c>
      <c r="C246" s="5" t="s">
        <v>136</v>
      </c>
      <c r="D246" s="10">
        <v>1</v>
      </c>
      <c r="E246" s="27">
        <v>0</v>
      </c>
      <c r="F246" s="27">
        <f>TRUNC(D246*E246,2)</f>
        <v>0</v>
      </c>
      <c r="G246" s="27">
        <v>0</v>
      </c>
      <c r="H246" s="27">
        <f>TRUNC(D246*G246,2)</f>
        <v>0</v>
      </c>
      <c r="I246" s="27">
        <f>TRUNC(SUMIF(V244:V246, RIGHTB(O246, 1), H244:H246)*U246, 2)</f>
        <v>105.14</v>
      </c>
      <c r="J246" s="27">
        <f>TRUNC(D246*I246,2)</f>
        <v>105.14</v>
      </c>
      <c r="K246" s="27">
        <f t="shared" si="49"/>
        <v>105.14</v>
      </c>
      <c r="L246" s="27">
        <f t="shared" si="49"/>
        <v>105.14</v>
      </c>
      <c r="M246" s="29"/>
      <c r="N246" s="7" t="s">
        <v>1058</v>
      </c>
      <c r="O246" s="14" t="s">
        <v>572</v>
      </c>
      <c r="P246" s="14" t="s">
        <v>823</v>
      </c>
      <c r="Q246" s="14" t="s">
        <v>823</v>
      </c>
      <c r="R246" s="14" t="s">
        <v>228</v>
      </c>
      <c r="S246" s="31">
        <v>30</v>
      </c>
      <c r="T246" s="14" t="s">
        <v>387</v>
      </c>
      <c r="U246" s="31">
        <v>0.01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</row>
    <row r="247" spans="1:28" ht="29.1" customHeight="1" x14ac:dyDescent="0.3">
      <c r="A247" s="5" t="s">
        <v>621</v>
      </c>
      <c r="B247" s="5" t="s">
        <v>823</v>
      </c>
      <c r="C247" s="5" t="s">
        <v>823</v>
      </c>
      <c r="D247" s="5" t="s">
        <v>823</v>
      </c>
      <c r="E247" s="28">
        <v>0</v>
      </c>
      <c r="F247" s="28">
        <f>TRUNC(SUMIF(R244:R246, " ", F244:F246),0)</f>
        <v>0</v>
      </c>
      <c r="G247" s="28">
        <v>0</v>
      </c>
      <c r="H247" s="28">
        <f>TRUNC(SUMIF(R244:R246, " ", H244:H246),0)</f>
        <v>10514</v>
      </c>
      <c r="I247" s="28">
        <v>0</v>
      </c>
      <c r="J247" s="27">
        <f>TRUNC(SUMIF(R244:R246, " ", J244:J246),0)</f>
        <v>105</v>
      </c>
      <c r="K247" s="20" t="s">
        <v>823</v>
      </c>
      <c r="L247" s="28">
        <f>F247+H247+J247</f>
        <v>10619</v>
      </c>
      <c r="M247" s="29"/>
      <c r="N247" s="24" t="s">
        <v>747</v>
      </c>
      <c r="O247" s="4" t="s">
        <v>747</v>
      </c>
    </row>
    <row r="248" spans="1:28" ht="29.1" customHeight="1" x14ac:dyDescent="0.3">
      <c r="A248" s="5" t="s">
        <v>823</v>
      </c>
      <c r="B248" s="5" t="s">
        <v>823</v>
      </c>
      <c r="C248" s="5" t="s">
        <v>823</v>
      </c>
      <c r="D248" s="5" t="s">
        <v>823</v>
      </c>
      <c r="E248" s="5" t="s">
        <v>823</v>
      </c>
      <c r="F248" s="5" t="s">
        <v>823</v>
      </c>
      <c r="G248" s="5" t="s">
        <v>823</v>
      </c>
      <c r="H248" s="5" t="s">
        <v>823</v>
      </c>
      <c r="I248" s="5" t="s">
        <v>823</v>
      </c>
      <c r="J248" s="5" t="s">
        <v>823</v>
      </c>
      <c r="K248" s="5" t="s">
        <v>823</v>
      </c>
      <c r="L248" s="5" t="s">
        <v>823</v>
      </c>
      <c r="M248" s="5" t="s">
        <v>823</v>
      </c>
    </row>
    <row r="249" spans="1:28" ht="29.1" customHeight="1" x14ac:dyDescent="0.3">
      <c r="A249" s="48" t="s">
        <v>187</v>
      </c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50"/>
      <c r="N249" s="7" t="s">
        <v>1083</v>
      </c>
    </row>
    <row r="250" spans="1:28" ht="29.1" customHeight="1" x14ac:dyDescent="0.3">
      <c r="A250" s="5" t="s">
        <v>1250</v>
      </c>
      <c r="B250" s="29" t="s">
        <v>269</v>
      </c>
      <c r="C250" s="5" t="s">
        <v>656</v>
      </c>
      <c r="D250" s="10">
        <v>7.4999999999999997E-2</v>
      </c>
      <c r="E250" s="28">
        <f>단가대비표!U81</f>
        <v>0</v>
      </c>
      <c r="F250" s="27">
        <f>TRUNC(D250*E250,2)</f>
        <v>0</v>
      </c>
      <c r="G250" s="28">
        <f>단가대비표!V81</f>
        <v>171037</v>
      </c>
      <c r="H250" s="27">
        <f>TRUNC(D250*G250,2)</f>
        <v>12827.77</v>
      </c>
      <c r="I250" s="28">
        <f>단가대비표!AE81</f>
        <v>0</v>
      </c>
      <c r="J250" s="27">
        <f>TRUNC(D250*I250,2)</f>
        <v>0</v>
      </c>
      <c r="K250" s="27">
        <f>E250+G250+I250</f>
        <v>171037</v>
      </c>
      <c r="L250" s="27">
        <f>F250+H250+J250</f>
        <v>12827.77</v>
      </c>
      <c r="M250" s="29" t="s">
        <v>162</v>
      </c>
      <c r="N250" s="7" t="s">
        <v>1083</v>
      </c>
      <c r="O250" s="14" t="s">
        <v>40</v>
      </c>
      <c r="P250" s="14" t="s">
        <v>823</v>
      </c>
      <c r="Q250" s="14" t="s">
        <v>823</v>
      </c>
      <c r="R250" s="14" t="s">
        <v>228</v>
      </c>
      <c r="S250" s="31">
        <v>20</v>
      </c>
      <c r="T250" s="14" t="s">
        <v>739</v>
      </c>
      <c r="U250" s="31">
        <v>0</v>
      </c>
      <c r="V250" s="31">
        <v>1</v>
      </c>
      <c r="W250" s="31">
        <v>0</v>
      </c>
      <c r="X250" s="31">
        <v>0</v>
      </c>
      <c r="Y250" s="31">
        <v>0</v>
      </c>
      <c r="Z250" s="31">
        <v>0</v>
      </c>
      <c r="AA250" s="31">
        <v>0</v>
      </c>
      <c r="AB250" s="31">
        <v>0</v>
      </c>
    </row>
    <row r="251" spans="1:28" ht="29.1" customHeight="1" x14ac:dyDescent="0.3">
      <c r="A251" s="5" t="s">
        <v>468</v>
      </c>
      <c r="B251" s="29" t="s">
        <v>1319</v>
      </c>
      <c r="C251" s="5" t="s">
        <v>136</v>
      </c>
      <c r="D251" s="10">
        <v>1</v>
      </c>
      <c r="E251" s="27">
        <f>TRUNC(SUMIF(V250:V251, RIGHTB(O251, 1), H250:H251)*U251, 2)</f>
        <v>641.38</v>
      </c>
      <c r="F251" s="27">
        <f>TRUNC(D251*E251,2)</f>
        <v>641.38</v>
      </c>
      <c r="G251" s="27">
        <v>0</v>
      </c>
      <c r="H251" s="27">
        <f>TRUNC(D251*G251,2)</f>
        <v>0</v>
      </c>
      <c r="I251" s="27">
        <v>0</v>
      </c>
      <c r="J251" s="27">
        <f>TRUNC(D251*I251,2)</f>
        <v>0</v>
      </c>
      <c r="K251" s="27">
        <f>E251+G251+I251</f>
        <v>641.38</v>
      </c>
      <c r="L251" s="27">
        <f>F251+H251+J251</f>
        <v>641.38</v>
      </c>
      <c r="M251" s="29"/>
      <c r="N251" s="7" t="s">
        <v>1083</v>
      </c>
      <c r="O251" s="14" t="s">
        <v>572</v>
      </c>
      <c r="P251" s="14" t="s">
        <v>823</v>
      </c>
      <c r="Q251" s="14" t="s">
        <v>823</v>
      </c>
      <c r="R251" s="14" t="s">
        <v>228</v>
      </c>
      <c r="S251" s="31">
        <v>25</v>
      </c>
      <c r="T251" s="14" t="s">
        <v>850</v>
      </c>
      <c r="U251" s="31">
        <v>0.05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</row>
    <row r="252" spans="1:28" ht="29.1" customHeight="1" x14ac:dyDescent="0.3">
      <c r="A252" s="5" t="s">
        <v>621</v>
      </c>
      <c r="B252" s="5" t="s">
        <v>823</v>
      </c>
      <c r="C252" s="5" t="s">
        <v>823</v>
      </c>
      <c r="D252" s="5" t="s">
        <v>823</v>
      </c>
      <c r="E252" s="28">
        <v>0</v>
      </c>
      <c r="F252" s="28">
        <f>TRUNC(SUMIF(R250:R251, " ", F250:F251),0)</f>
        <v>641</v>
      </c>
      <c r="G252" s="28">
        <v>0</v>
      </c>
      <c r="H252" s="28">
        <f>TRUNC(SUMIF(R250:R251, " ", H250:H251),0)</f>
        <v>12827</v>
      </c>
      <c r="I252" s="28">
        <v>0</v>
      </c>
      <c r="J252" s="27">
        <f>TRUNC(SUMIF(R250:R251, " ", J250:J251),0)</f>
        <v>0</v>
      </c>
      <c r="K252" s="20" t="s">
        <v>823</v>
      </c>
      <c r="L252" s="28">
        <f>F252+H252+J252</f>
        <v>13468</v>
      </c>
      <c r="M252" s="29"/>
      <c r="N252" s="24" t="s">
        <v>747</v>
      </c>
      <c r="O252" s="4" t="s">
        <v>747</v>
      </c>
    </row>
    <row r="253" spans="1:28" ht="29.1" customHeight="1" x14ac:dyDescent="0.3">
      <c r="A253" s="5" t="s">
        <v>823</v>
      </c>
      <c r="B253" s="5" t="s">
        <v>823</v>
      </c>
      <c r="C253" s="5" t="s">
        <v>823</v>
      </c>
      <c r="D253" s="5" t="s">
        <v>823</v>
      </c>
      <c r="E253" s="5" t="s">
        <v>823</v>
      </c>
      <c r="F253" s="5" t="s">
        <v>823</v>
      </c>
      <c r="G253" s="5" t="s">
        <v>823</v>
      </c>
      <c r="H253" s="5" t="s">
        <v>823</v>
      </c>
      <c r="I253" s="5" t="s">
        <v>823</v>
      </c>
      <c r="J253" s="5" t="s">
        <v>823</v>
      </c>
      <c r="K253" s="5" t="s">
        <v>823</v>
      </c>
      <c r="L253" s="5" t="s">
        <v>823</v>
      </c>
      <c r="M253" s="5" t="s">
        <v>823</v>
      </c>
    </row>
    <row r="254" spans="1:28" ht="29.1" customHeight="1" x14ac:dyDescent="0.3">
      <c r="A254" s="48" t="s">
        <v>785</v>
      </c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50"/>
      <c r="N254" s="7" t="s">
        <v>414</v>
      </c>
    </row>
    <row r="255" spans="1:28" ht="29.1" customHeight="1" x14ac:dyDescent="0.3">
      <c r="A255" s="5" t="s">
        <v>317</v>
      </c>
      <c r="B255" s="29" t="s">
        <v>269</v>
      </c>
      <c r="C255" s="5" t="s">
        <v>656</v>
      </c>
      <c r="D255" s="10">
        <v>0.1</v>
      </c>
      <c r="E255" s="28">
        <f>단가대비표!U88</f>
        <v>0</v>
      </c>
      <c r="F255" s="27">
        <f>TRUNC(D255*E255,2)</f>
        <v>0</v>
      </c>
      <c r="G255" s="28">
        <f>단가대비표!V88</f>
        <v>250287</v>
      </c>
      <c r="H255" s="27">
        <f>TRUNC(D255*G255,2)</f>
        <v>25028.7</v>
      </c>
      <c r="I255" s="28">
        <f>단가대비표!AE88</f>
        <v>0</v>
      </c>
      <c r="J255" s="27">
        <f>TRUNC(D255*I255,2)</f>
        <v>0</v>
      </c>
      <c r="K255" s="27">
        <f t="shared" ref="K255:L257" si="50">E255+G255+I255</f>
        <v>250287</v>
      </c>
      <c r="L255" s="27">
        <f t="shared" si="50"/>
        <v>25028.7</v>
      </c>
      <c r="M255" s="29" t="s">
        <v>140</v>
      </c>
      <c r="N255" s="7" t="s">
        <v>414</v>
      </c>
      <c r="O255" s="14" t="s">
        <v>174</v>
      </c>
      <c r="P255" s="14" t="s">
        <v>823</v>
      </c>
      <c r="Q255" s="14" t="s">
        <v>823</v>
      </c>
      <c r="R255" s="14" t="s">
        <v>228</v>
      </c>
      <c r="S255" s="31">
        <v>15</v>
      </c>
      <c r="T255" s="14" t="s">
        <v>1268</v>
      </c>
      <c r="U255" s="31">
        <v>0</v>
      </c>
      <c r="V255" s="31">
        <v>1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</row>
    <row r="256" spans="1:28" ht="29.1" customHeight="1" x14ac:dyDescent="0.3">
      <c r="A256" s="5" t="s">
        <v>1250</v>
      </c>
      <c r="B256" s="29" t="s">
        <v>269</v>
      </c>
      <c r="C256" s="5" t="s">
        <v>656</v>
      </c>
      <c r="D256" s="10">
        <v>7.4999999999999997E-2</v>
      </c>
      <c r="E256" s="28">
        <f>단가대비표!U81</f>
        <v>0</v>
      </c>
      <c r="F256" s="27">
        <f>TRUNC(D256*E256,2)</f>
        <v>0</v>
      </c>
      <c r="G256" s="28">
        <f>단가대비표!V81</f>
        <v>171037</v>
      </c>
      <c r="H256" s="27">
        <f>TRUNC(D256*G256,2)</f>
        <v>12827.77</v>
      </c>
      <c r="I256" s="28">
        <f>단가대비표!AE81</f>
        <v>0</v>
      </c>
      <c r="J256" s="27">
        <f>TRUNC(D256*I256,2)</f>
        <v>0</v>
      </c>
      <c r="K256" s="27">
        <f t="shared" si="50"/>
        <v>171037</v>
      </c>
      <c r="L256" s="27">
        <f t="shared" si="50"/>
        <v>12827.77</v>
      </c>
      <c r="M256" s="29" t="s">
        <v>162</v>
      </c>
      <c r="N256" s="7" t="s">
        <v>414</v>
      </c>
      <c r="O256" s="14" t="s">
        <v>40</v>
      </c>
      <c r="P256" s="14" t="s">
        <v>823</v>
      </c>
      <c r="Q256" s="14" t="s">
        <v>823</v>
      </c>
      <c r="R256" s="14" t="s">
        <v>228</v>
      </c>
      <c r="S256" s="31">
        <v>17</v>
      </c>
      <c r="T256" s="14" t="s">
        <v>739</v>
      </c>
      <c r="U256" s="31">
        <v>0</v>
      </c>
      <c r="V256" s="31">
        <v>1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</row>
    <row r="257" spans="1:28" ht="29.1" customHeight="1" x14ac:dyDescent="0.3">
      <c r="A257" s="5" t="s">
        <v>468</v>
      </c>
      <c r="B257" s="29" t="s">
        <v>1319</v>
      </c>
      <c r="C257" s="5" t="s">
        <v>136</v>
      </c>
      <c r="D257" s="10">
        <v>1</v>
      </c>
      <c r="E257" s="27">
        <f>TRUNC(SUMIF(V255:V257, RIGHTB(O257, 1), H255:H257)*U257, 2)</f>
        <v>1892.82</v>
      </c>
      <c r="F257" s="27">
        <f>TRUNC(D257*E257,2)</f>
        <v>1892.82</v>
      </c>
      <c r="G257" s="27">
        <v>0</v>
      </c>
      <c r="H257" s="27">
        <f>TRUNC(D257*G257,2)</f>
        <v>0</v>
      </c>
      <c r="I257" s="27">
        <v>0</v>
      </c>
      <c r="J257" s="27">
        <f>TRUNC(D257*I257,2)</f>
        <v>0</v>
      </c>
      <c r="K257" s="27">
        <f t="shared" si="50"/>
        <v>1892.82</v>
      </c>
      <c r="L257" s="27">
        <f t="shared" si="50"/>
        <v>1892.82</v>
      </c>
      <c r="M257" s="29"/>
      <c r="N257" s="7" t="s">
        <v>414</v>
      </c>
      <c r="O257" s="14" t="s">
        <v>572</v>
      </c>
      <c r="P257" s="14" t="s">
        <v>823</v>
      </c>
      <c r="Q257" s="14" t="s">
        <v>823</v>
      </c>
      <c r="R257" s="14" t="s">
        <v>228</v>
      </c>
      <c r="S257" s="31">
        <v>20</v>
      </c>
      <c r="T257" s="14" t="s">
        <v>732</v>
      </c>
      <c r="U257" s="31">
        <v>0.05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</row>
    <row r="258" spans="1:28" ht="29.1" customHeight="1" x14ac:dyDescent="0.3">
      <c r="A258" s="5" t="s">
        <v>621</v>
      </c>
      <c r="B258" s="5" t="s">
        <v>823</v>
      </c>
      <c r="C258" s="5" t="s">
        <v>823</v>
      </c>
      <c r="D258" s="5" t="s">
        <v>823</v>
      </c>
      <c r="E258" s="28">
        <v>0</v>
      </c>
      <c r="F258" s="28">
        <f>TRUNC(SUMIF(R255:R257, " ", F255:F257),0)</f>
        <v>1892</v>
      </c>
      <c r="G258" s="28">
        <v>0</v>
      </c>
      <c r="H258" s="28">
        <f>TRUNC(SUMIF(R255:R257, " ", H255:H257),0)</f>
        <v>37856</v>
      </c>
      <c r="I258" s="28">
        <v>0</v>
      </c>
      <c r="J258" s="27">
        <f>TRUNC(SUMIF(R255:R257, " ", J255:J257),0)</f>
        <v>0</v>
      </c>
      <c r="K258" s="20" t="s">
        <v>823</v>
      </c>
      <c r="L258" s="28">
        <f>F258+H258+J258</f>
        <v>39748</v>
      </c>
      <c r="M258" s="29"/>
      <c r="N258" s="24" t="s">
        <v>747</v>
      </c>
      <c r="O258" s="4" t="s">
        <v>747</v>
      </c>
    </row>
    <row r="259" spans="1:28" ht="29.1" customHeight="1" x14ac:dyDescent="0.3">
      <c r="A259" s="5" t="s">
        <v>823</v>
      </c>
      <c r="B259" s="5" t="s">
        <v>823</v>
      </c>
      <c r="C259" s="5" t="s">
        <v>823</v>
      </c>
      <c r="D259" s="5" t="s">
        <v>823</v>
      </c>
      <c r="E259" s="5" t="s">
        <v>823</v>
      </c>
      <c r="F259" s="5" t="s">
        <v>823</v>
      </c>
      <c r="G259" s="5" t="s">
        <v>823</v>
      </c>
      <c r="H259" s="5" t="s">
        <v>823</v>
      </c>
      <c r="I259" s="5" t="s">
        <v>823</v>
      </c>
      <c r="J259" s="5" t="s">
        <v>823</v>
      </c>
      <c r="K259" s="5" t="s">
        <v>823</v>
      </c>
      <c r="L259" s="5" t="s">
        <v>823</v>
      </c>
      <c r="M259" s="5" t="s">
        <v>823</v>
      </c>
    </row>
    <row r="260" spans="1:28" ht="29.1" customHeight="1" x14ac:dyDescent="0.3">
      <c r="A260" s="48" t="s">
        <v>750</v>
      </c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50"/>
      <c r="N260" s="7" t="s">
        <v>540</v>
      </c>
    </row>
    <row r="261" spans="1:28" ht="29.1" customHeight="1" x14ac:dyDescent="0.3">
      <c r="A261" s="5" t="s">
        <v>1250</v>
      </c>
      <c r="B261" s="29" t="s">
        <v>269</v>
      </c>
      <c r="C261" s="5" t="s">
        <v>656</v>
      </c>
      <c r="D261" s="10">
        <v>2.2499999999999999E-2</v>
      </c>
      <c r="E261" s="28">
        <f>단가대비표!U81</f>
        <v>0</v>
      </c>
      <c r="F261" s="27">
        <f>TRUNC(D261*E261,2)</f>
        <v>0</v>
      </c>
      <c r="G261" s="28">
        <f>단가대비표!V81</f>
        <v>171037</v>
      </c>
      <c r="H261" s="27">
        <f>TRUNC(D261*G261,2)</f>
        <v>3848.33</v>
      </c>
      <c r="I261" s="28">
        <f>단가대비표!AE81</f>
        <v>0</v>
      </c>
      <c r="J261" s="27">
        <f>TRUNC(D261*I261,2)</f>
        <v>0</v>
      </c>
      <c r="K261" s="27">
        <f>E261+G261+I261</f>
        <v>171037</v>
      </c>
      <c r="L261" s="27">
        <f>F261+H261+J261</f>
        <v>3848.33</v>
      </c>
      <c r="M261" s="29" t="s">
        <v>162</v>
      </c>
      <c r="N261" s="7" t="s">
        <v>540</v>
      </c>
      <c r="O261" s="14" t="s">
        <v>40</v>
      </c>
      <c r="P261" s="14" t="s">
        <v>823</v>
      </c>
      <c r="Q261" s="14" t="s">
        <v>823</v>
      </c>
      <c r="R261" s="14" t="s">
        <v>228</v>
      </c>
      <c r="S261" s="31">
        <v>20</v>
      </c>
      <c r="T261" s="14" t="s">
        <v>1183</v>
      </c>
      <c r="U261" s="31">
        <v>0</v>
      </c>
      <c r="V261" s="31">
        <v>1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</row>
    <row r="262" spans="1:28" ht="29.1" customHeight="1" x14ac:dyDescent="0.3">
      <c r="A262" s="5" t="s">
        <v>468</v>
      </c>
      <c r="B262" s="29" t="s">
        <v>1319</v>
      </c>
      <c r="C262" s="5" t="s">
        <v>136</v>
      </c>
      <c r="D262" s="10">
        <v>1</v>
      </c>
      <c r="E262" s="27">
        <f>TRUNC(SUMIF(V261:V262, RIGHTB(O262, 1), H261:H262)*U262, 2)</f>
        <v>192.41</v>
      </c>
      <c r="F262" s="27">
        <f>TRUNC(D262*E262,2)</f>
        <v>192.41</v>
      </c>
      <c r="G262" s="27">
        <v>0</v>
      </c>
      <c r="H262" s="27">
        <f>TRUNC(D262*G262,2)</f>
        <v>0</v>
      </c>
      <c r="I262" s="27">
        <v>0</v>
      </c>
      <c r="J262" s="27">
        <f>TRUNC(D262*I262,2)</f>
        <v>0</v>
      </c>
      <c r="K262" s="27">
        <f>E262+G262+I262</f>
        <v>192.41</v>
      </c>
      <c r="L262" s="27">
        <f>F262+H262+J262</f>
        <v>192.41</v>
      </c>
      <c r="M262" s="29"/>
      <c r="N262" s="7" t="s">
        <v>540</v>
      </c>
      <c r="O262" s="14" t="s">
        <v>572</v>
      </c>
      <c r="P262" s="14" t="s">
        <v>823</v>
      </c>
      <c r="Q262" s="14" t="s">
        <v>823</v>
      </c>
      <c r="R262" s="14" t="s">
        <v>228</v>
      </c>
      <c r="S262" s="31">
        <v>30</v>
      </c>
      <c r="T262" s="14" t="s">
        <v>850</v>
      </c>
      <c r="U262" s="31">
        <v>0.05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</row>
    <row r="263" spans="1:28" ht="29.1" customHeight="1" x14ac:dyDescent="0.3">
      <c r="A263" s="5" t="s">
        <v>621</v>
      </c>
      <c r="B263" s="5" t="s">
        <v>823</v>
      </c>
      <c r="C263" s="5" t="s">
        <v>823</v>
      </c>
      <c r="D263" s="5" t="s">
        <v>823</v>
      </c>
      <c r="E263" s="28">
        <v>0</v>
      </c>
      <c r="F263" s="28">
        <f>TRUNC(SUMIF(R261:R262, " ", F261:F262),0)</f>
        <v>192</v>
      </c>
      <c r="G263" s="28">
        <v>0</v>
      </c>
      <c r="H263" s="28">
        <f>TRUNC(SUMIF(R261:R262, " ", H261:H262),0)</f>
        <v>3848</v>
      </c>
      <c r="I263" s="28">
        <v>0</v>
      </c>
      <c r="J263" s="27">
        <f>TRUNC(SUMIF(R261:R262, " ", J261:J262),0)</f>
        <v>0</v>
      </c>
      <c r="K263" s="20" t="s">
        <v>823</v>
      </c>
      <c r="L263" s="28">
        <f>F263+H263+J263</f>
        <v>4040</v>
      </c>
      <c r="M263" s="29"/>
      <c r="N263" s="24" t="s">
        <v>747</v>
      </c>
      <c r="O263" s="4" t="s">
        <v>747</v>
      </c>
    </row>
    <row r="264" spans="1:28" ht="29.1" customHeight="1" x14ac:dyDescent="0.3">
      <c r="A264" s="5" t="s">
        <v>823</v>
      </c>
      <c r="B264" s="5" t="s">
        <v>823</v>
      </c>
      <c r="C264" s="5" t="s">
        <v>823</v>
      </c>
      <c r="D264" s="5" t="s">
        <v>823</v>
      </c>
      <c r="E264" s="5" t="s">
        <v>823</v>
      </c>
      <c r="F264" s="5" t="s">
        <v>823</v>
      </c>
      <c r="G264" s="5" t="s">
        <v>823</v>
      </c>
      <c r="H264" s="5" t="s">
        <v>823</v>
      </c>
      <c r="I264" s="5" t="s">
        <v>823</v>
      </c>
      <c r="J264" s="5" t="s">
        <v>823</v>
      </c>
      <c r="K264" s="5" t="s">
        <v>823</v>
      </c>
      <c r="L264" s="5" t="s">
        <v>823</v>
      </c>
      <c r="M264" s="5" t="s">
        <v>823</v>
      </c>
    </row>
    <row r="265" spans="1:28" ht="29.1" customHeight="1" x14ac:dyDescent="0.3">
      <c r="A265" s="48" t="s">
        <v>472</v>
      </c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50"/>
      <c r="N265" s="7" t="s">
        <v>720</v>
      </c>
    </row>
    <row r="266" spans="1:28" ht="29.1" customHeight="1" x14ac:dyDescent="0.3">
      <c r="A266" s="5" t="s">
        <v>432</v>
      </c>
      <c r="B266" s="29" t="s">
        <v>269</v>
      </c>
      <c r="C266" s="5" t="s">
        <v>656</v>
      </c>
      <c r="D266" s="10">
        <v>0.78</v>
      </c>
      <c r="E266" s="28">
        <f>단가대비표!U83</f>
        <v>0</v>
      </c>
      <c r="F266" s="27">
        <f>TRUNC(D266*E266,2)</f>
        <v>0</v>
      </c>
      <c r="G266" s="28">
        <f>단가대비표!V83</f>
        <v>279613</v>
      </c>
      <c r="H266" s="27">
        <f>TRUNC(D266*G266,2)</f>
        <v>218098.14</v>
      </c>
      <c r="I266" s="28">
        <f>단가대비표!AE83</f>
        <v>0</v>
      </c>
      <c r="J266" s="27">
        <f>TRUNC(D266*I266,2)</f>
        <v>0</v>
      </c>
      <c r="K266" s="27">
        <f t="shared" ref="K266:L268" si="51">E266+G266+I266</f>
        <v>279613</v>
      </c>
      <c r="L266" s="27">
        <f t="shared" si="51"/>
        <v>218098.14</v>
      </c>
      <c r="M266" s="29" t="s">
        <v>1044</v>
      </c>
      <c r="N266" s="7" t="s">
        <v>720</v>
      </c>
      <c r="O266" s="14" t="s">
        <v>687</v>
      </c>
      <c r="P266" s="14" t="s">
        <v>823</v>
      </c>
      <c r="Q266" s="14" t="s">
        <v>823</v>
      </c>
      <c r="R266" s="14" t="s">
        <v>228</v>
      </c>
      <c r="S266" s="31">
        <v>10</v>
      </c>
      <c r="T266" s="14" t="s">
        <v>823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</row>
    <row r="267" spans="1:28" ht="29.1" customHeight="1" x14ac:dyDescent="0.3">
      <c r="A267" s="5" t="s">
        <v>526</v>
      </c>
      <c r="B267" s="29" t="s">
        <v>269</v>
      </c>
      <c r="C267" s="5" t="s">
        <v>656</v>
      </c>
      <c r="D267" s="10">
        <v>0.38</v>
      </c>
      <c r="E267" s="28">
        <f>단가대비표!U82</f>
        <v>0</v>
      </c>
      <c r="F267" s="27">
        <f>TRUNC(D267*E267,2)</f>
        <v>0</v>
      </c>
      <c r="G267" s="28">
        <f>단가대비표!V82</f>
        <v>224490</v>
      </c>
      <c r="H267" s="27">
        <f>TRUNC(D267*G267,2)</f>
        <v>85306.2</v>
      </c>
      <c r="I267" s="28">
        <f>단가대비표!AE82</f>
        <v>0</v>
      </c>
      <c r="J267" s="27">
        <f>TRUNC(D267*I267,2)</f>
        <v>0</v>
      </c>
      <c r="K267" s="27">
        <f t="shared" si="51"/>
        <v>224490</v>
      </c>
      <c r="L267" s="27">
        <f t="shared" si="51"/>
        <v>85306.2</v>
      </c>
      <c r="M267" s="29" t="s">
        <v>758</v>
      </c>
      <c r="N267" s="7" t="s">
        <v>720</v>
      </c>
      <c r="O267" s="14" t="s">
        <v>1315</v>
      </c>
      <c r="P267" s="14" t="s">
        <v>823</v>
      </c>
      <c r="Q267" s="14" t="s">
        <v>823</v>
      </c>
      <c r="R267" s="14" t="s">
        <v>228</v>
      </c>
      <c r="S267" s="31">
        <v>20</v>
      </c>
      <c r="T267" s="14" t="s">
        <v>823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</row>
    <row r="268" spans="1:28" ht="29.1" customHeight="1" x14ac:dyDescent="0.3">
      <c r="A268" s="5" t="s">
        <v>1216</v>
      </c>
      <c r="B268" s="29" t="s">
        <v>1213</v>
      </c>
      <c r="C268" s="5" t="s">
        <v>298</v>
      </c>
      <c r="D268" s="10">
        <v>2</v>
      </c>
      <c r="E268" s="28">
        <f>일위대가목록!E60</f>
        <v>7351</v>
      </c>
      <c r="F268" s="27">
        <f>TRUNC(D268*E268,2)</f>
        <v>14702</v>
      </c>
      <c r="G268" s="28">
        <f>일위대가목록!F60</f>
        <v>58296</v>
      </c>
      <c r="H268" s="27">
        <f>TRUNC(D268*G268,2)</f>
        <v>116592</v>
      </c>
      <c r="I268" s="28">
        <f>일위대가목록!G60</f>
        <v>30793</v>
      </c>
      <c r="J268" s="27">
        <f>TRUNC(D268*I268,2)</f>
        <v>61586</v>
      </c>
      <c r="K268" s="27">
        <f t="shared" si="51"/>
        <v>96440</v>
      </c>
      <c r="L268" s="27">
        <f t="shared" si="51"/>
        <v>192880</v>
      </c>
      <c r="M268" s="29" t="s">
        <v>595</v>
      </c>
      <c r="N268" s="7" t="s">
        <v>720</v>
      </c>
      <c r="O268" s="14" t="s">
        <v>1261</v>
      </c>
      <c r="P268" s="14" t="s">
        <v>823</v>
      </c>
      <c r="Q268" s="14" t="s">
        <v>823</v>
      </c>
      <c r="R268" s="14" t="s">
        <v>228</v>
      </c>
      <c r="S268" s="31">
        <v>30</v>
      </c>
      <c r="T268" s="14" t="s">
        <v>823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</row>
    <row r="269" spans="1:28" ht="29.1" customHeight="1" x14ac:dyDescent="0.3">
      <c r="A269" s="5" t="s">
        <v>621</v>
      </c>
      <c r="B269" s="5" t="s">
        <v>823</v>
      </c>
      <c r="C269" s="5" t="s">
        <v>823</v>
      </c>
      <c r="D269" s="5" t="s">
        <v>823</v>
      </c>
      <c r="E269" s="28">
        <v>0</v>
      </c>
      <c r="F269" s="28">
        <f>TRUNC(SUMIF(R266:R268, " ", F266:F268),0)</f>
        <v>14702</v>
      </c>
      <c r="G269" s="28">
        <v>0</v>
      </c>
      <c r="H269" s="28">
        <f>TRUNC(SUMIF(R266:R268, " ", H266:H268),0)</f>
        <v>419996</v>
      </c>
      <c r="I269" s="28">
        <v>0</v>
      </c>
      <c r="J269" s="27">
        <f>TRUNC(SUMIF(R266:R268, " ", J266:J268),0)</f>
        <v>61586</v>
      </c>
      <c r="K269" s="20" t="s">
        <v>823</v>
      </c>
      <c r="L269" s="28">
        <f>F269+H269+J269</f>
        <v>496284</v>
      </c>
      <c r="M269" s="29"/>
      <c r="N269" s="24" t="s">
        <v>747</v>
      </c>
      <c r="O269" s="4" t="s">
        <v>747</v>
      </c>
    </row>
    <row r="270" spans="1:28" ht="29.1" customHeight="1" x14ac:dyDescent="0.3">
      <c r="A270" s="5" t="s">
        <v>823</v>
      </c>
      <c r="B270" s="5" t="s">
        <v>823</v>
      </c>
      <c r="C270" s="5" t="s">
        <v>823</v>
      </c>
      <c r="D270" s="5" t="s">
        <v>823</v>
      </c>
      <c r="E270" s="5" t="s">
        <v>823</v>
      </c>
      <c r="F270" s="5" t="s">
        <v>823</v>
      </c>
      <c r="G270" s="5" t="s">
        <v>823</v>
      </c>
      <c r="H270" s="5" t="s">
        <v>823</v>
      </c>
      <c r="I270" s="5" t="s">
        <v>823</v>
      </c>
      <c r="J270" s="5" t="s">
        <v>823</v>
      </c>
      <c r="K270" s="5" t="s">
        <v>823</v>
      </c>
      <c r="L270" s="5" t="s">
        <v>823</v>
      </c>
      <c r="M270" s="5" t="s">
        <v>823</v>
      </c>
    </row>
    <row r="271" spans="1:28" ht="29.1" customHeight="1" x14ac:dyDescent="0.3">
      <c r="A271" s="48" t="s">
        <v>165</v>
      </c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50"/>
      <c r="N271" s="7" t="s">
        <v>645</v>
      </c>
    </row>
    <row r="272" spans="1:28" ht="29.1" customHeight="1" x14ac:dyDescent="0.3">
      <c r="A272" s="5" t="s">
        <v>842</v>
      </c>
      <c r="B272" s="29" t="s">
        <v>269</v>
      </c>
      <c r="C272" s="5" t="s">
        <v>656</v>
      </c>
      <c r="D272" s="10">
        <v>2.7E-2</v>
      </c>
      <c r="E272" s="28">
        <f>단가대비표!U87</f>
        <v>0</v>
      </c>
      <c r="F272" s="27">
        <f>TRUNC(D272*E272,2)</f>
        <v>0</v>
      </c>
      <c r="G272" s="28">
        <f>단가대비표!V87</f>
        <v>283068</v>
      </c>
      <c r="H272" s="27">
        <f>TRUNC(D272*G272,2)</f>
        <v>7642.83</v>
      </c>
      <c r="I272" s="28">
        <f>단가대비표!AE87</f>
        <v>0</v>
      </c>
      <c r="J272" s="27">
        <f>TRUNC(D272*I272,2)</f>
        <v>0</v>
      </c>
      <c r="K272" s="27">
        <f t="shared" ref="K272:L274" si="52">E272+G272+I272</f>
        <v>283068</v>
      </c>
      <c r="L272" s="27">
        <f t="shared" si="52"/>
        <v>7642.83</v>
      </c>
      <c r="M272" s="29" t="s">
        <v>726</v>
      </c>
      <c r="N272" s="7" t="s">
        <v>645</v>
      </c>
      <c r="O272" s="14" t="s">
        <v>76</v>
      </c>
      <c r="P272" s="14" t="s">
        <v>823</v>
      </c>
      <c r="Q272" s="14" t="s">
        <v>823</v>
      </c>
      <c r="R272" s="14" t="s">
        <v>228</v>
      </c>
      <c r="S272" s="31">
        <v>10</v>
      </c>
      <c r="T272" s="14" t="s">
        <v>823</v>
      </c>
      <c r="U272" s="31">
        <v>0</v>
      </c>
      <c r="V272" s="31">
        <v>1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</row>
    <row r="273" spans="1:28" ht="29.1" customHeight="1" x14ac:dyDescent="0.3">
      <c r="A273" s="5" t="s">
        <v>1250</v>
      </c>
      <c r="B273" s="29" t="s">
        <v>269</v>
      </c>
      <c r="C273" s="5" t="s">
        <v>656</v>
      </c>
      <c r="D273" s="10">
        <v>1.2999999999999999E-2</v>
      </c>
      <c r="E273" s="28">
        <f>단가대비표!U81</f>
        <v>0</v>
      </c>
      <c r="F273" s="27">
        <f>TRUNC(D273*E273,2)</f>
        <v>0</v>
      </c>
      <c r="G273" s="28">
        <f>단가대비표!V81</f>
        <v>171037</v>
      </c>
      <c r="H273" s="27">
        <f>TRUNC(D273*G273,2)</f>
        <v>2223.48</v>
      </c>
      <c r="I273" s="28">
        <f>단가대비표!AE81</f>
        <v>0</v>
      </c>
      <c r="J273" s="27">
        <f>TRUNC(D273*I273,2)</f>
        <v>0</v>
      </c>
      <c r="K273" s="27">
        <f t="shared" si="52"/>
        <v>171037</v>
      </c>
      <c r="L273" s="27">
        <f t="shared" si="52"/>
        <v>2223.48</v>
      </c>
      <c r="M273" s="29" t="s">
        <v>162</v>
      </c>
      <c r="N273" s="7" t="s">
        <v>645</v>
      </c>
      <c r="O273" s="14" t="s">
        <v>40</v>
      </c>
      <c r="P273" s="14" t="s">
        <v>823</v>
      </c>
      <c r="Q273" s="14" t="s">
        <v>823</v>
      </c>
      <c r="R273" s="14" t="s">
        <v>228</v>
      </c>
      <c r="S273" s="31">
        <v>20</v>
      </c>
      <c r="T273" s="14" t="s">
        <v>823</v>
      </c>
      <c r="U273" s="31">
        <v>0</v>
      </c>
      <c r="V273" s="31">
        <v>1</v>
      </c>
      <c r="W273" s="31">
        <v>0</v>
      </c>
      <c r="X273" s="31">
        <v>0</v>
      </c>
      <c r="Y273" s="31">
        <v>0</v>
      </c>
      <c r="Z273" s="31">
        <v>0</v>
      </c>
      <c r="AA273" s="31">
        <v>0</v>
      </c>
      <c r="AB273" s="31">
        <v>0</v>
      </c>
    </row>
    <row r="274" spans="1:28" ht="29.1" customHeight="1" x14ac:dyDescent="0.3">
      <c r="A274" s="5" t="s">
        <v>1195</v>
      </c>
      <c r="B274" s="29" t="s">
        <v>104</v>
      </c>
      <c r="C274" s="5" t="s">
        <v>136</v>
      </c>
      <c r="D274" s="10">
        <v>1</v>
      </c>
      <c r="E274" s="27">
        <f>TRUNC(SUMIF(V272:V274, RIGHTB(O274, 1), H272:H274)*U274, 2)</f>
        <v>197.32</v>
      </c>
      <c r="F274" s="27">
        <f>TRUNC(D274*E274,2)</f>
        <v>197.32</v>
      </c>
      <c r="G274" s="27">
        <v>0</v>
      </c>
      <c r="H274" s="27">
        <f>TRUNC(D274*G274,2)</f>
        <v>0</v>
      </c>
      <c r="I274" s="27">
        <v>0</v>
      </c>
      <c r="J274" s="27">
        <f>TRUNC(D274*I274,2)</f>
        <v>0</v>
      </c>
      <c r="K274" s="27">
        <f t="shared" si="52"/>
        <v>197.32</v>
      </c>
      <c r="L274" s="27">
        <f t="shared" si="52"/>
        <v>197.32</v>
      </c>
      <c r="M274" s="29"/>
      <c r="N274" s="7" t="s">
        <v>645</v>
      </c>
      <c r="O274" s="14" t="s">
        <v>572</v>
      </c>
      <c r="P274" s="14" t="s">
        <v>823</v>
      </c>
      <c r="Q274" s="14" t="s">
        <v>823</v>
      </c>
      <c r="R274" s="14" t="s">
        <v>228</v>
      </c>
      <c r="S274" s="31">
        <v>30</v>
      </c>
      <c r="T274" s="14" t="s">
        <v>604</v>
      </c>
      <c r="U274" s="31">
        <v>0.02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</row>
    <row r="275" spans="1:28" ht="29.1" customHeight="1" x14ac:dyDescent="0.3">
      <c r="A275" s="5" t="s">
        <v>621</v>
      </c>
      <c r="B275" s="5" t="s">
        <v>823</v>
      </c>
      <c r="C275" s="5" t="s">
        <v>823</v>
      </c>
      <c r="D275" s="5" t="s">
        <v>823</v>
      </c>
      <c r="E275" s="28">
        <v>0</v>
      </c>
      <c r="F275" s="28">
        <f>TRUNC(SUMIF(R272:R274, " ", F272:F274),0)</f>
        <v>197</v>
      </c>
      <c r="G275" s="28">
        <v>0</v>
      </c>
      <c r="H275" s="28">
        <f>TRUNC(SUMIF(R272:R274, " ", H272:H274),0)</f>
        <v>9866</v>
      </c>
      <c r="I275" s="28">
        <v>0</v>
      </c>
      <c r="J275" s="27">
        <f>TRUNC(SUMIF(R272:R274, " ", J272:J274),0)</f>
        <v>0</v>
      </c>
      <c r="K275" s="20" t="s">
        <v>823</v>
      </c>
      <c r="L275" s="28">
        <f>F275+H275+J275</f>
        <v>10063</v>
      </c>
      <c r="M275" s="29"/>
      <c r="N275" s="24" t="s">
        <v>747</v>
      </c>
      <c r="O275" s="4" t="s">
        <v>747</v>
      </c>
    </row>
    <row r="276" spans="1:28" ht="29.1" customHeight="1" x14ac:dyDescent="0.3">
      <c r="A276" s="5" t="s">
        <v>823</v>
      </c>
      <c r="B276" s="5" t="s">
        <v>823</v>
      </c>
      <c r="C276" s="5" t="s">
        <v>823</v>
      </c>
      <c r="D276" s="5" t="s">
        <v>823</v>
      </c>
      <c r="E276" s="5" t="s">
        <v>823</v>
      </c>
      <c r="F276" s="5" t="s">
        <v>823</v>
      </c>
      <c r="G276" s="5" t="s">
        <v>823</v>
      </c>
      <c r="H276" s="5" t="s">
        <v>823</v>
      </c>
      <c r="I276" s="5" t="s">
        <v>823</v>
      </c>
      <c r="J276" s="5" t="s">
        <v>823</v>
      </c>
      <c r="K276" s="5" t="s">
        <v>823</v>
      </c>
      <c r="L276" s="5" t="s">
        <v>823</v>
      </c>
      <c r="M276" s="5" t="s">
        <v>823</v>
      </c>
    </row>
    <row r="277" spans="1:28" ht="29.1" customHeight="1" x14ac:dyDescent="0.3">
      <c r="A277" s="48" t="s">
        <v>70</v>
      </c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50"/>
      <c r="N277" s="7" t="s">
        <v>412</v>
      </c>
    </row>
    <row r="278" spans="1:28" ht="29.1" customHeight="1" x14ac:dyDescent="0.3">
      <c r="A278" s="5" t="s">
        <v>432</v>
      </c>
      <c r="B278" s="29" t="s">
        <v>269</v>
      </c>
      <c r="C278" s="5" t="s">
        <v>656</v>
      </c>
      <c r="D278" s="10">
        <v>0.3</v>
      </c>
      <c r="E278" s="28">
        <f>단가대비표!U83</f>
        <v>0</v>
      </c>
      <c r="F278" s="27">
        <f>TRUNC(D278*E278,2)</f>
        <v>0</v>
      </c>
      <c r="G278" s="28">
        <f>단가대비표!V83</f>
        <v>279613</v>
      </c>
      <c r="H278" s="27">
        <f>TRUNC(D278*G278,2)</f>
        <v>83883.899999999994</v>
      </c>
      <c r="I278" s="28">
        <f>단가대비표!AE83</f>
        <v>0</v>
      </c>
      <c r="J278" s="27">
        <f>TRUNC(D278*I278,2)</f>
        <v>0</v>
      </c>
      <c r="K278" s="27">
        <f t="shared" ref="K278:L281" si="53">E278+G278+I278</f>
        <v>279613</v>
      </c>
      <c r="L278" s="27">
        <f t="shared" si="53"/>
        <v>83883.899999999994</v>
      </c>
      <c r="M278" s="29" t="s">
        <v>1044</v>
      </c>
      <c r="N278" s="7" t="s">
        <v>412</v>
      </c>
      <c r="O278" s="14" t="s">
        <v>687</v>
      </c>
      <c r="P278" s="14" t="s">
        <v>823</v>
      </c>
      <c r="Q278" s="14" t="s">
        <v>823</v>
      </c>
      <c r="R278" s="14" t="s">
        <v>228</v>
      </c>
      <c r="S278" s="31">
        <v>10</v>
      </c>
      <c r="T278" s="14" t="s">
        <v>823</v>
      </c>
      <c r="U278" s="31">
        <v>0</v>
      </c>
      <c r="V278" s="31">
        <v>1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</row>
    <row r="279" spans="1:28" ht="29.1" customHeight="1" x14ac:dyDescent="0.3">
      <c r="A279" s="5" t="s">
        <v>1250</v>
      </c>
      <c r="B279" s="29" t="s">
        <v>269</v>
      </c>
      <c r="C279" s="5" t="s">
        <v>656</v>
      </c>
      <c r="D279" s="10">
        <v>0.11</v>
      </c>
      <c r="E279" s="28">
        <f>단가대비표!U81</f>
        <v>0</v>
      </c>
      <c r="F279" s="27">
        <f>TRUNC(D279*E279,2)</f>
        <v>0</v>
      </c>
      <c r="G279" s="28">
        <f>단가대비표!V81</f>
        <v>171037</v>
      </c>
      <c r="H279" s="27">
        <f>TRUNC(D279*G279,2)</f>
        <v>18814.07</v>
      </c>
      <c r="I279" s="28">
        <f>단가대비표!AE81</f>
        <v>0</v>
      </c>
      <c r="J279" s="27">
        <f>TRUNC(D279*I279,2)</f>
        <v>0</v>
      </c>
      <c r="K279" s="27">
        <f t="shared" si="53"/>
        <v>171037</v>
      </c>
      <c r="L279" s="27">
        <f t="shared" si="53"/>
        <v>18814.07</v>
      </c>
      <c r="M279" s="29" t="s">
        <v>162</v>
      </c>
      <c r="N279" s="7" t="s">
        <v>412</v>
      </c>
      <c r="O279" s="14" t="s">
        <v>40</v>
      </c>
      <c r="P279" s="14" t="s">
        <v>823</v>
      </c>
      <c r="Q279" s="14" t="s">
        <v>823</v>
      </c>
      <c r="R279" s="14" t="s">
        <v>228</v>
      </c>
      <c r="S279" s="31">
        <v>20</v>
      </c>
      <c r="T279" s="14" t="s">
        <v>823</v>
      </c>
      <c r="U279" s="31">
        <v>0</v>
      </c>
      <c r="V279" s="31">
        <v>1</v>
      </c>
      <c r="W279" s="31">
        <v>0</v>
      </c>
      <c r="X279" s="31">
        <v>0</v>
      </c>
      <c r="Y279" s="31">
        <v>0</v>
      </c>
      <c r="Z279" s="31">
        <v>0</v>
      </c>
      <c r="AA279" s="31">
        <v>0</v>
      </c>
      <c r="AB279" s="31">
        <v>0</v>
      </c>
    </row>
    <row r="280" spans="1:28" ht="29.1" customHeight="1" x14ac:dyDescent="0.3">
      <c r="A280" s="5" t="s">
        <v>779</v>
      </c>
      <c r="B280" s="29" t="s">
        <v>1108</v>
      </c>
      <c r="C280" s="5" t="s">
        <v>298</v>
      </c>
      <c r="D280" s="10">
        <v>0.35</v>
      </c>
      <c r="E280" s="28">
        <f>일위대가목록!E59</f>
        <v>8420</v>
      </c>
      <c r="F280" s="27">
        <f>TRUNC(D280*E280,2)</f>
        <v>2947</v>
      </c>
      <c r="G280" s="28">
        <f>일위대가목록!F59</f>
        <v>58296</v>
      </c>
      <c r="H280" s="27">
        <f>TRUNC(D280*G280,2)</f>
        <v>20403.599999999999</v>
      </c>
      <c r="I280" s="28">
        <f>일위대가목록!G59</f>
        <v>13399</v>
      </c>
      <c r="J280" s="27">
        <f>TRUNC(D280*I280,2)</f>
        <v>4689.6499999999996</v>
      </c>
      <c r="K280" s="27">
        <f t="shared" si="53"/>
        <v>80115</v>
      </c>
      <c r="L280" s="27">
        <f t="shared" si="53"/>
        <v>28040.25</v>
      </c>
      <c r="M280" s="29" t="s">
        <v>551</v>
      </c>
      <c r="N280" s="7" t="s">
        <v>412</v>
      </c>
      <c r="O280" s="14" t="s">
        <v>248</v>
      </c>
      <c r="P280" s="14" t="s">
        <v>823</v>
      </c>
      <c r="Q280" s="14" t="s">
        <v>823</v>
      </c>
      <c r="R280" s="14" t="s">
        <v>228</v>
      </c>
      <c r="S280" s="31">
        <v>30</v>
      </c>
      <c r="T280" s="14" t="s">
        <v>823</v>
      </c>
      <c r="U280" s="31">
        <v>0</v>
      </c>
      <c r="V280" s="31">
        <v>0</v>
      </c>
      <c r="W280" s="31">
        <v>0</v>
      </c>
      <c r="X280" s="31">
        <v>0</v>
      </c>
      <c r="Y280" s="31">
        <v>0</v>
      </c>
      <c r="Z280" s="31">
        <v>0</v>
      </c>
      <c r="AA280" s="31">
        <v>0</v>
      </c>
      <c r="AB280" s="31">
        <v>0</v>
      </c>
    </row>
    <row r="281" spans="1:28" ht="29.1" customHeight="1" x14ac:dyDescent="0.3">
      <c r="A281" s="5" t="s">
        <v>1195</v>
      </c>
      <c r="B281" s="29" t="s">
        <v>1169</v>
      </c>
      <c r="C281" s="5" t="s">
        <v>136</v>
      </c>
      <c r="D281" s="10">
        <v>1</v>
      </c>
      <c r="E281" s="27">
        <f>TRUNC(SUMIF(V278:V281, RIGHTB(O281, 1), H278:H281)*U281, 2)</f>
        <v>3080.93</v>
      </c>
      <c r="F281" s="27">
        <f>TRUNC(D281*E281,2)</f>
        <v>3080.93</v>
      </c>
      <c r="G281" s="27">
        <v>0</v>
      </c>
      <c r="H281" s="27">
        <f>TRUNC(D281*G281,2)</f>
        <v>0</v>
      </c>
      <c r="I281" s="27">
        <v>0</v>
      </c>
      <c r="J281" s="27">
        <f>TRUNC(D281*I281,2)</f>
        <v>0</v>
      </c>
      <c r="K281" s="27">
        <f t="shared" si="53"/>
        <v>3080.93</v>
      </c>
      <c r="L281" s="27">
        <f t="shared" si="53"/>
        <v>3080.93</v>
      </c>
      <c r="M281" s="29"/>
      <c r="N281" s="7" t="s">
        <v>412</v>
      </c>
      <c r="O281" s="14" t="s">
        <v>572</v>
      </c>
      <c r="P281" s="14" t="s">
        <v>823</v>
      </c>
      <c r="Q281" s="14" t="s">
        <v>823</v>
      </c>
      <c r="R281" s="14" t="s">
        <v>228</v>
      </c>
      <c r="S281" s="31">
        <v>40</v>
      </c>
      <c r="T281" s="14" t="s">
        <v>457</v>
      </c>
      <c r="U281" s="31">
        <v>0.03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</row>
    <row r="282" spans="1:28" ht="29.1" customHeight="1" x14ac:dyDescent="0.3">
      <c r="A282" s="5" t="s">
        <v>621</v>
      </c>
      <c r="B282" s="5" t="s">
        <v>823</v>
      </c>
      <c r="C282" s="5" t="s">
        <v>823</v>
      </c>
      <c r="D282" s="5" t="s">
        <v>823</v>
      </c>
      <c r="E282" s="28">
        <v>0</v>
      </c>
      <c r="F282" s="28">
        <f>TRUNC(SUMIF(R278:R281, " ", F278:F281),0)</f>
        <v>6027</v>
      </c>
      <c r="G282" s="28">
        <v>0</v>
      </c>
      <c r="H282" s="28">
        <f>TRUNC(SUMIF(R278:R281, " ", H278:H281),0)</f>
        <v>123101</v>
      </c>
      <c r="I282" s="28">
        <v>0</v>
      </c>
      <c r="J282" s="27">
        <f>TRUNC(SUMIF(R278:R281, " ", J278:J281),0)</f>
        <v>4689</v>
      </c>
      <c r="K282" s="20" t="s">
        <v>823</v>
      </c>
      <c r="L282" s="28">
        <f>F282+H282+J282</f>
        <v>133817</v>
      </c>
      <c r="M282" s="29"/>
      <c r="N282" s="24" t="s">
        <v>747</v>
      </c>
      <c r="O282" s="4" t="s">
        <v>747</v>
      </c>
    </row>
    <row r="283" spans="1:28" ht="29.1" customHeight="1" x14ac:dyDescent="0.3">
      <c r="A283" s="5" t="s">
        <v>823</v>
      </c>
      <c r="B283" s="5" t="s">
        <v>823</v>
      </c>
      <c r="C283" s="5" t="s">
        <v>823</v>
      </c>
      <c r="D283" s="5" t="s">
        <v>823</v>
      </c>
      <c r="E283" s="5" t="s">
        <v>823</v>
      </c>
      <c r="F283" s="5" t="s">
        <v>823</v>
      </c>
      <c r="G283" s="5" t="s">
        <v>823</v>
      </c>
      <c r="H283" s="5" t="s">
        <v>823</v>
      </c>
      <c r="I283" s="5" t="s">
        <v>823</v>
      </c>
      <c r="J283" s="5" t="s">
        <v>823</v>
      </c>
      <c r="K283" s="5" t="s">
        <v>823</v>
      </c>
      <c r="L283" s="5" t="s">
        <v>823</v>
      </c>
      <c r="M283" s="5" t="s">
        <v>823</v>
      </c>
    </row>
    <row r="284" spans="1:28" ht="29.1" customHeight="1" x14ac:dyDescent="0.3">
      <c r="A284" s="48" t="s">
        <v>1158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50"/>
      <c r="N284" s="7" t="s">
        <v>85</v>
      </c>
    </row>
    <row r="285" spans="1:28" ht="29.1" customHeight="1" x14ac:dyDescent="0.3">
      <c r="A285" s="5" t="s">
        <v>432</v>
      </c>
      <c r="B285" s="29" t="s">
        <v>269</v>
      </c>
      <c r="C285" s="5" t="s">
        <v>656</v>
      </c>
      <c r="D285" s="10">
        <v>0.12</v>
      </c>
      <c r="E285" s="28">
        <f>단가대비표!U83</f>
        <v>0</v>
      </c>
      <c r="F285" s="27">
        <f>TRUNC(D285*E285,2)</f>
        <v>0</v>
      </c>
      <c r="G285" s="28">
        <f>단가대비표!V83</f>
        <v>279613</v>
      </c>
      <c r="H285" s="27">
        <f>TRUNC(D285*G285,2)</f>
        <v>33553.56</v>
      </c>
      <c r="I285" s="28">
        <f>단가대비표!AE83</f>
        <v>0</v>
      </c>
      <c r="J285" s="27">
        <f>TRUNC(D285*I285,2)</f>
        <v>0</v>
      </c>
      <c r="K285" s="27">
        <f t="shared" ref="K285:L288" si="54">E285+G285+I285</f>
        <v>279613</v>
      </c>
      <c r="L285" s="27">
        <f t="shared" si="54"/>
        <v>33553.56</v>
      </c>
      <c r="M285" s="29" t="s">
        <v>1044</v>
      </c>
      <c r="N285" s="7" t="s">
        <v>85</v>
      </c>
      <c r="O285" s="14" t="s">
        <v>687</v>
      </c>
      <c r="P285" s="14" t="s">
        <v>823</v>
      </c>
      <c r="Q285" s="14" t="s">
        <v>823</v>
      </c>
      <c r="R285" s="14" t="s">
        <v>228</v>
      </c>
      <c r="S285" s="31">
        <v>10</v>
      </c>
      <c r="T285" s="14" t="s">
        <v>823</v>
      </c>
      <c r="U285" s="31">
        <v>0</v>
      </c>
      <c r="V285" s="31">
        <v>1</v>
      </c>
      <c r="W285" s="31">
        <v>0</v>
      </c>
      <c r="X285" s="31">
        <v>0</v>
      </c>
      <c r="Y285" s="31">
        <v>0</v>
      </c>
      <c r="Z285" s="31">
        <v>0</v>
      </c>
      <c r="AA285" s="31">
        <v>0</v>
      </c>
      <c r="AB285" s="31">
        <v>0</v>
      </c>
    </row>
    <row r="286" spans="1:28" ht="29.1" customHeight="1" x14ac:dyDescent="0.3">
      <c r="A286" s="5" t="s">
        <v>1250</v>
      </c>
      <c r="B286" s="29" t="s">
        <v>269</v>
      </c>
      <c r="C286" s="5" t="s">
        <v>656</v>
      </c>
      <c r="D286" s="10">
        <v>0.04</v>
      </c>
      <c r="E286" s="28">
        <f>단가대비표!U81</f>
        <v>0</v>
      </c>
      <c r="F286" s="27">
        <f>TRUNC(D286*E286,2)</f>
        <v>0</v>
      </c>
      <c r="G286" s="28">
        <f>단가대비표!V81</f>
        <v>171037</v>
      </c>
      <c r="H286" s="27">
        <f>TRUNC(D286*G286,2)</f>
        <v>6841.48</v>
      </c>
      <c r="I286" s="28">
        <f>단가대비표!AE81</f>
        <v>0</v>
      </c>
      <c r="J286" s="27">
        <f>TRUNC(D286*I286,2)</f>
        <v>0</v>
      </c>
      <c r="K286" s="27">
        <f t="shared" si="54"/>
        <v>171037</v>
      </c>
      <c r="L286" s="27">
        <f t="shared" si="54"/>
        <v>6841.48</v>
      </c>
      <c r="M286" s="29" t="s">
        <v>162</v>
      </c>
      <c r="N286" s="7" t="s">
        <v>85</v>
      </c>
      <c r="O286" s="14" t="s">
        <v>40</v>
      </c>
      <c r="P286" s="14" t="s">
        <v>823</v>
      </c>
      <c r="Q286" s="14" t="s">
        <v>823</v>
      </c>
      <c r="R286" s="14" t="s">
        <v>228</v>
      </c>
      <c r="S286" s="31">
        <v>20</v>
      </c>
      <c r="T286" s="14" t="s">
        <v>823</v>
      </c>
      <c r="U286" s="31">
        <v>0</v>
      </c>
      <c r="V286" s="31">
        <v>1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</row>
    <row r="287" spans="1:28" ht="29.1" customHeight="1" x14ac:dyDescent="0.3">
      <c r="A287" s="5" t="s">
        <v>779</v>
      </c>
      <c r="B287" s="29" t="s">
        <v>1108</v>
      </c>
      <c r="C287" s="5" t="s">
        <v>298</v>
      </c>
      <c r="D287" s="10">
        <v>0.14000000000000001</v>
      </c>
      <c r="E287" s="28">
        <f>일위대가목록!E59</f>
        <v>8420</v>
      </c>
      <c r="F287" s="27">
        <f>TRUNC(D287*E287,2)</f>
        <v>1178.8</v>
      </c>
      <c r="G287" s="28">
        <f>일위대가목록!F59</f>
        <v>58296</v>
      </c>
      <c r="H287" s="27">
        <f>TRUNC(D287*G287,2)</f>
        <v>8161.44</v>
      </c>
      <c r="I287" s="28">
        <f>일위대가목록!G59</f>
        <v>13399</v>
      </c>
      <c r="J287" s="27">
        <f>TRUNC(D287*I287,2)</f>
        <v>1875.86</v>
      </c>
      <c r="K287" s="27">
        <f t="shared" si="54"/>
        <v>80115</v>
      </c>
      <c r="L287" s="27">
        <f t="shared" si="54"/>
        <v>11216.1</v>
      </c>
      <c r="M287" s="29" t="s">
        <v>551</v>
      </c>
      <c r="N287" s="7" t="s">
        <v>85</v>
      </c>
      <c r="O287" s="14" t="s">
        <v>248</v>
      </c>
      <c r="P287" s="14" t="s">
        <v>823</v>
      </c>
      <c r="Q287" s="14" t="s">
        <v>823</v>
      </c>
      <c r="R287" s="14" t="s">
        <v>228</v>
      </c>
      <c r="S287" s="31">
        <v>30</v>
      </c>
      <c r="T287" s="14" t="s">
        <v>823</v>
      </c>
      <c r="U287" s="31">
        <v>0</v>
      </c>
      <c r="V287" s="31">
        <v>0</v>
      </c>
      <c r="W287" s="31">
        <v>0</v>
      </c>
      <c r="X287" s="31">
        <v>0</v>
      </c>
      <c r="Y287" s="31">
        <v>0</v>
      </c>
      <c r="Z287" s="31">
        <v>0</v>
      </c>
      <c r="AA287" s="31">
        <v>0</v>
      </c>
      <c r="AB287" s="31">
        <v>0</v>
      </c>
    </row>
    <row r="288" spans="1:28" ht="29.1" customHeight="1" x14ac:dyDescent="0.3">
      <c r="A288" s="5" t="s">
        <v>1195</v>
      </c>
      <c r="B288" s="29" t="s">
        <v>361</v>
      </c>
      <c r="C288" s="5" t="s">
        <v>136</v>
      </c>
      <c r="D288" s="10">
        <v>1</v>
      </c>
      <c r="E288" s="27">
        <f>TRUNC(SUMIF(V285:V288, RIGHTB(O288, 1), H285:H288)*U288, 2)</f>
        <v>1211.8499999999999</v>
      </c>
      <c r="F288" s="27">
        <f>TRUNC(D288*E288,2)</f>
        <v>1211.8499999999999</v>
      </c>
      <c r="G288" s="27">
        <v>0</v>
      </c>
      <c r="H288" s="27">
        <f>TRUNC(D288*G288,2)</f>
        <v>0</v>
      </c>
      <c r="I288" s="27">
        <v>0</v>
      </c>
      <c r="J288" s="27">
        <f>TRUNC(D288*I288,2)</f>
        <v>0</v>
      </c>
      <c r="K288" s="27">
        <f t="shared" si="54"/>
        <v>1211.8499999999999</v>
      </c>
      <c r="L288" s="27">
        <f t="shared" si="54"/>
        <v>1211.8499999999999</v>
      </c>
      <c r="M288" s="29"/>
      <c r="N288" s="7" t="s">
        <v>85</v>
      </c>
      <c r="O288" s="14" t="s">
        <v>572</v>
      </c>
      <c r="P288" s="14" t="s">
        <v>823</v>
      </c>
      <c r="Q288" s="14" t="s">
        <v>823</v>
      </c>
      <c r="R288" s="14" t="s">
        <v>228</v>
      </c>
      <c r="S288" s="31">
        <v>40</v>
      </c>
      <c r="T288" s="14" t="s">
        <v>457</v>
      </c>
      <c r="U288" s="31">
        <v>0.03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</row>
    <row r="289" spans="1:28" ht="29.1" customHeight="1" x14ac:dyDescent="0.3">
      <c r="A289" s="5" t="s">
        <v>621</v>
      </c>
      <c r="B289" s="5" t="s">
        <v>823</v>
      </c>
      <c r="C289" s="5" t="s">
        <v>823</v>
      </c>
      <c r="D289" s="5" t="s">
        <v>823</v>
      </c>
      <c r="E289" s="28">
        <v>0</v>
      </c>
      <c r="F289" s="28">
        <f>TRUNC(SUMIF(R285:R288, " ", F285:F288),0)</f>
        <v>2390</v>
      </c>
      <c r="G289" s="28">
        <v>0</v>
      </c>
      <c r="H289" s="28">
        <f>TRUNC(SUMIF(R285:R288, " ", H285:H288),0)</f>
        <v>48556</v>
      </c>
      <c r="I289" s="28">
        <v>0</v>
      </c>
      <c r="J289" s="27">
        <f>TRUNC(SUMIF(R285:R288, " ", J285:J288),0)</f>
        <v>1875</v>
      </c>
      <c r="K289" s="20" t="s">
        <v>823</v>
      </c>
      <c r="L289" s="28">
        <f>F289+H289+J289</f>
        <v>52821</v>
      </c>
      <c r="M289" s="29"/>
      <c r="N289" s="24" t="s">
        <v>747</v>
      </c>
      <c r="O289" s="4" t="s">
        <v>747</v>
      </c>
    </row>
    <row r="290" spans="1:28" ht="29.1" customHeight="1" x14ac:dyDescent="0.3">
      <c r="A290" s="5" t="s">
        <v>823</v>
      </c>
      <c r="B290" s="5" t="s">
        <v>823</v>
      </c>
      <c r="C290" s="5" t="s">
        <v>823</v>
      </c>
      <c r="D290" s="5" t="s">
        <v>823</v>
      </c>
      <c r="E290" s="5" t="s">
        <v>823</v>
      </c>
      <c r="F290" s="5" t="s">
        <v>823</v>
      </c>
      <c r="G290" s="5" t="s">
        <v>823</v>
      </c>
      <c r="H290" s="5" t="s">
        <v>823</v>
      </c>
      <c r="I290" s="5" t="s">
        <v>823</v>
      </c>
      <c r="J290" s="5" t="s">
        <v>823</v>
      </c>
      <c r="K290" s="5" t="s">
        <v>823</v>
      </c>
      <c r="L290" s="5" t="s">
        <v>823</v>
      </c>
      <c r="M290" s="5" t="s">
        <v>823</v>
      </c>
    </row>
    <row r="291" spans="1:28" ht="29.1" customHeight="1" x14ac:dyDescent="0.3">
      <c r="A291" s="48" t="s">
        <v>574</v>
      </c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50"/>
      <c r="N291" s="7" t="s">
        <v>483</v>
      </c>
    </row>
    <row r="292" spans="1:28" ht="29.1" customHeight="1" x14ac:dyDescent="0.3">
      <c r="A292" s="5" t="s">
        <v>432</v>
      </c>
      <c r="B292" s="29" t="s">
        <v>269</v>
      </c>
      <c r="C292" s="5" t="s">
        <v>656</v>
      </c>
      <c r="D292" s="10">
        <v>0.26</v>
      </c>
      <c r="E292" s="28">
        <f>단가대비표!U83</f>
        <v>0</v>
      </c>
      <c r="F292" s="27">
        <f>TRUNC(D292*E292,2)</f>
        <v>0</v>
      </c>
      <c r="G292" s="28">
        <f>단가대비표!V83</f>
        <v>279613</v>
      </c>
      <c r="H292" s="27">
        <f>TRUNC(D292*G292,2)</f>
        <v>72699.38</v>
      </c>
      <c r="I292" s="28">
        <f>단가대비표!AE83</f>
        <v>0</v>
      </c>
      <c r="J292" s="27">
        <f>TRUNC(D292*I292,2)</f>
        <v>0</v>
      </c>
      <c r="K292" s="27">
        <f t="shared" ref="K292:L294" si="55">E292+G292+I292</f>
        <v>279613</v>
      </c>
      <c r="L292" s="27">
        <f t="shared" si="55"/>
        <v>72699.38</v>
      </c>
      <c r="M292" s="29" t="s">
        <v>1044</v>
      </c>
      <c r="N292" s="7" t="s">
        <v>483</v>
      </c>
      <c r="O292" s="14" t="s">
        <v>687</v>
      </c>
      <c r="P292" s="14" t="s">
        <v>823</v>
      </c>
      <c r="Q292" s="14" t="s">
        <v>823</v>
      </c>
      <c r="R292" s="14" t="s">
        <v>228</v>
      </c>
      <c r="S292" s="31">
        <v>10</v>
      </c>
      <c r="T292" s="14" t="s">
        <v>823</v>
      </c>
      <c r="U292" s="31">
        <v>0</v>
      </c>
      <c r="V292" s="31">
        <v>1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</row>
    <row r="293" spans="1:28" ht="29.1" customHeight="1" x14ac:dyDescent="0.3">
      <c r="A293" s="5" t="s">
        <v>1250</v>
      </c>
      <c r="B293" s="29" t="s">
        <v>269</v>
      </c>
      <c r="C293" s="5" t="s">
        <v>656</v>
      </c>
      <c r="D293" s="10">
        <v>0.09</v>
      </c>
      <c r="E293" s="28">
        <f>단가대비표!U81</f>
        <v>0</v>
      </c>
      <c r="F293" s="27">
        <f>TRUNC(D293*E293,2)</f>
        <v>0</v>
      </c>
      <c r="G293" s="28">
        <f>단가대비표!V81</f>
        <v>171037</v>
      </c>
      <c r="H293" s="27">
        <f>TRUNC(D293*G293,2)</f>
        <v>15393.33</v>
      </c>
      <c r="I293" s="28">
        <f>단가대비표!AE81</f>
        <v>0</v>
      </c>
      <c r="J293" s="27">
        <f>TRUNC(D293*I293,2)</f>
        <v>0</v>
      </c>
      <c r="K293" s="27">
        <f t="shared" si="55"/>
        <v>171037</v>
      </c>
      <c r="L293" s="27">
        <f t="shared" si="55"/>
        <v>15393.33</v>
      </c>
      <c r="M293" s="29" t="s">
        <v>162</v>
      </c>
      <c r="N293" s="7" t="s">
        <v>483</v>
      </c>
      <c r="O293" s="14" t="s">
        <v>40</v>
      </c>
      <c r="P293" s="14" t="s">
        <v>823</v>
      </c>
      <c r="Q293" s="14" t="s">
        <v>823</v>
      </c>
      <c r="R293" s="14" t="s">
        <v>228</v>
      </c>
      <c r="S293" s="31">
        <v>20</v>
      </c>
      <c r="T293" s="14" t="s">
        <v>823</v>
      </c>
      <c r="U293" s="31">
        <v>0</v>
      </c>
      <c r="V293" s="31">
        <v>1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</row>
    <row r="294" spans="1:28" ht="29.1" customHeight="1" x14ac:dyDescent="0.3">
      <c r="A294" s="5" t="s">
        <v>1195</v>
      </c>
      <c r="B294" s="29" t="s">
        <v>361</v>
      </c>
      <c r="C294" s="5" t="s">
        <v>136</v>
      </c>
      <c r="D294" s="10">
        <v>1</v>
      </c>
      <c r="E294" s="27">
        <f>TRUNC(SUMIF(V292:V294, RIGHTB(O294, 1), H292:H294)*U294, 2)</f>
        <v>2642.78</v>
      </c>
      <c r="F294" s="27">
        <f>TRUNC(D294*E294,2)</f>
        <v>2642.78</v>
      </c>
      <c r="G294" s="27">
        <v>0</v>
      </c>
      <c r="H294" s="27">
        <f>TRUNC(D294*G294,2)</f>
        <v>0</v>
      </c>
      <c r="I294" s="27">
        <v>0</v>
      </c>
      <c r="J294" s="27">
        <f>TRUNC(D294*I294,2)</f>
        <v>0</v>
      </c>
      <c r="K294" s="27">
        <f t="shared" si="55"/>
        <v>2642.78</v>
      </c>
      <c r="L294" s="27">
        <f t="shared" si="55"/>
        <v>2642.78</v>
      </c>
      <c r="M294" s="29"/>
      <c r="N294" s="7" t="s">
        <v>483</v>
      </c>
      <c r="O294" s="14" t="s">
        <v>572</v>
      </c>
      <c r="P294" s="14" t="s">
        <v>823</v>
      </c>
      <c r="Q294" s="14" t="s">
        <v>823</v>
      </c>
      <c r="R294" s="14" t="s">
        <v>228</v>
      </c>
      <c r="S294" s="31">
        <v>30</v>
      </c>
      <c r="T294" s="14" t="s">
        <v>457</v>
      </c>
      <c r="U294" s="31">
        <v>0.03</v>
      </c>
      <c r="V294" s="31">
        <v>0</v>
      </c>
      <c r="W294" s="31">
        <v>0</v>
      </c>
      <c r="X294" s="31">
        <v>0</v>
      </c>
      <c r="Y294" s="31">
        <v>0</v>
      </c>
      <c r="Z294" s="31">
        <v>0</v>
      </c>
      <c r="AA294" s="31">
        <v>0</v>
      </c>
      <c r="AB294" s="31">
        <v>0</v>
      </c>
    </row>
    <row r="295" spans="1:28" ht="29.1" customHeight="1" x14ac:dyDescent="0.3">
      <c r="A295" s="5" t="s">
        <v>621</v>
      </c>
      <c r="B295" s="5" t="s">
        <v>823</v>
      </c>
      <c r="C295" s="5" t="s">
        <v>823</v>
      </c>
      <c r="D295" s="5" t="s">
        <v>823</v>
      </c>
      <c r="E295" s="28">
        <v>0</v>
      </c>
      <c r="F295" s="28">
        <f>TRUNC(SUMIF(R292:R294, " ", F292:F294),0)</f>
        <v>2642</v>
      </c>
      <c r="G295" s="28">
        <v>0</v>
      </c>
      <c r="H295" s="28">
        <f>TRUNC(SUMIF(R292:R294, " ", H292:H294),0)</f>
        <v>88092</v>
      </c>
      <c r="I295" s="28">
        <v>0</v>
      </c>
      <c r="J295" s="27">
        <f>TRUNC(SUMIF(R292:R294, " ", J292:J294),0)</f>
        <v>0</v>
      </c>
      <c r="K295" s="20" t="s">
        <v>823</v>
      </c>
      <c r="L295" s="28">
        <f>F295+H295+J295</f>
        <v>90734</v>
      </c>
      <c r="M295" s="29"/>
      <c r="N295" s="24" t="s">
        <v>747</v>
      </c>
      <c r="O295" s="4" t="s">
        <v>747</v>
      </c>
    </row>
    <row r="296" spans="1:28" ht="29.1" customHeight="1" x14ac:dyDescent="0.3">
      <c r="A296" s="5" t="s">
        <v>823</v>
      </c>
      <c r="B296" s="5" t="s">
        <v>823</v>
      </c>
      <c r="C296" s="5" t="s">
        <v>823</v>
      </c>
      <c r="D296" s="5" t="s">
        <v>823</v>
      </c>
      <c r="E296" s="5" t="s">
        <v>823</v>
      </c>
      <c r="F296" s="5" t="s">
        <v>823</v>
      </c>
      <c r="G296" s="5" t="s">
        <v>823</v>
      </c>
      <c r="H296" s="5" t="s">
        <v>823</v>
      </c>
      <c r="I296" s="5" t="s">
        <v>823</v>
      </c>
      <c r="J296" s="5" t="s">
        <v>823</v>
      </c>
      <c r="K296" s="5" t="s">
        <v>823</v>
      </c>
      <c r="L296" s="5" t="s">
        <v>823</v>
      </c>
      <c r="M296" s="5" t="s">
        <v>823</v>
      </c>
    </row>
    <row r="297" spans="1:28" ht="29.1" customHeight="1" x14ac:dyDescent="0.3">
      <c r="A297" s="48" t="s">
        <v>660</v>
      </c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50"/>
      <c r="N297" s="7" t="s">
        <v>874</v>
      </c>
    </row>
    <row r="298" spans="1:28" ht="29.1" customHeight="1" x14ac:dyDescent="0.3">
      <c r="A298" s="5" t="s">
        <v>432</v>
      </c>
      <c r="B298" s="29" t="s">
        <v>269</v>
      </c>
      <c r="C298" s="5" t="s">
        <v>656</v>
      </c>
      <c r="D298" s="10">
        <v>0.1</v>
      </c>
      <c r="E298" s="28">
        <f>단가대비표!U83</f>
        <v>0</v>
      </c>
      <c r="F298" s="27">
        <f>TRUNC(D298*E298,2)</f>
        <v>0</v>
      </c>
      <c r="G298" s="28">
        <f>단가대비표!V83</f>
        <v>279613</v>
      </c>
      <c r="H298" s="27">
        <f>TRUNC(D298*G298,2)</f>
        <v>27961.3</v>
      </c>
      <c r="I298" s="28">
        <f>단가대비표!AE83</f>
        <v>0</v>
      </c>
      <c r="J298" s="27">
        <f>TRUNC(D298*I298,2)</f>
        <v>0</v>
      </c>
      <c r="K298" s="27">
        <f t="shared" ref="K298:L300" si="56">E298+G298+I298</f>
        <v>279613</v>
      </c>
      <c r="L298" s="27">
        <f t="shared" si="56"/>
        <v>27961.3</v>
      </c>
      <c r="M298" s="29" t="s">
        <v>1044</v>
      </c>
      <c r="N298" s="7" t="s">
        <v>874</v>
      </c>
      <c r="O298" s="14" t="s">
        <v>687</v>
      </c>
      <c r="P298" s="14" t="s">
        <v>823</v>
      </c>
      <c r="Q298" s="14" t="s">
        <v>823</v>
      </c>
      <c r="R298" s="14" t="s">
        <v>228</v>
      </c>
      <c r="S298" s="31">
        <v>10</v>
      </c>
      <c r="T298" s="14" t="s">
        <v>823</v>
      </c>
      <c r="U298" s="31">
        <v>0</v>
      </c>
      <c r="V298" s="31">
        <v>1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</row>
    <row r="299" spans="1:28" ht="29.1" customHeight="1" x14ac:dyDescent="0.3">
      <c r="A299" s="5" t="s">
        <v>1250</v>
      </c>
      <c r="B299" s="29" t="s">
        <v>269</v>
      </c>
      <c r="C299" s="5" t="s">
        <v>656</v>
      </c>
      <c r="D299" s="10">
        <v>0.04</v>
      </c>
      <c r="E299" s="28">
        <f>단가대비표!U81</f>
        <v>0</v>
      </c>
      <c r="F299" s="27">
        <f>TRUNC(D299*E299,2)</f>
        <v>0</v>
      </c>
      <c r="G299" s="28">
        <f>단가대비표!V81</f>
        <v>171037</v>
      </c>
      <c r="H299" s="27">
        <f>TRUNC(D299*G299,2)</f>
        <v>6841.48</v>
      </c>
      <c r="I299" s="28">
        <f>단가대비표!AE81</f>
        <v>0</v>
      </c>
      <c r="J299" s="27">
        <f>TRUNC(D299*I299,2)</f>
        <v>0</v>
      </c>
      <c r="K299" s="27">
        <f t="shared" si="56"/>
        <v>171037</v>
      </c>
      <c r="L299" s="27">
        <f t="shared" si="56"/>
        <v>6841.48</v>
      </c>
      <c r="M299" s="29" t="s">
        <v>162</v>
      </c>
      <c r="N299" s="7" t="s">
        <v>874</v>
      </c>
      <c r="O299" s="14" t="s">
        <v>40</v>
      </c>
      <c r="P299" s="14" t="s">
        <v>823</v>
      </c>
      <c r="Q299" s="14" t="s">
        <v>823</v>
      </c>
      <c r="R299" s="14" t="s">
        <v>228</v>
      </c>
      <c r="S299" s="31">
        <v>20</v>
      </c>
      <c r="T299" s="14" t="s">
        <v>823</v>
      </c>
      <c r="U299" s="31">
        <v>0</v>
      </c>
      <c r="V299" s="31">
        <v>1</v>
      </c>
      <c r="W299" s="31">
        <v>0</v>
      </c>
      <c r="X299" s="31">
        <v>0</v>
      </c>
      <c r="Y299" s="31">
        <v>0</v>
      </c>
      <c r="Z299" s="31">
        <v>0</v>
      </c>
      <c r="AA299" s="31">
        <v>0</v>
      </c>
      <c r="AB299" s="31">
        <v>0</v>
      </c>
    </row>
    <row r="300" spans="1:28" ht="29.1" customHeight="1" x14ac:dyDescent="0.3">
      <c r="A300" s="5" t="s">
        <v>1195</v>
      </c>
      <c r="B300" s="29" t="s">
        <v>361</v>
      </c>
      <c r="C300" s="5" t="s">
        <v>136</v>
      </c>
      <c r="D300" s="10">
        <v>1</v>
      </c>
      <c r="E300" s="27">
        <f>TRUNC(SUMIF(V298:V300, RIGHTB(O300, 1), H298:H300)*U300, 2)</f>
        <v>1044.08</v>
      </c>
      <c r="F300" s="27">
        <f>TRUNC(D300*E300,2)</f>
        <v>1044.08</v>
      </c>
      <c r="G300" s="27">
        <v>0</v>
      </c>
      <c r="H300" s="27">
        <f>TRUNC(D300*G300,2)</f>
        <v>0</v>
      </c>
      <c r="I300" s="27">
        <v>0</v>
      </c>
      <c r="J300" s="27">
        <f>TRUNC(D300*I300,2)</f>
        <v>0</v>
      </c>
      <c r="K300" s="27">
        <f t="shared" si="56"/>
        <v>1044.08</v>
      </c>
      <c r="L300" s="27">
        <f t="shared" si="56"/>
        <v>1044.08</v>
      </c>
      <c r="M300" s="29"/>
      <c r="N300" s="7" t="s">
        <v>874</v>
      </c>
      <c r="O300" s="14" t="s">
        <v>572</v>
      </c>
      <c r="P300" s="14" t="s">
        <v>823</v>
      </c>
      <c r="Q300" s="14" t="s">
        <v>823</v>
      </c>
      <c r="R300" s="14" t="s">
        <v>228</v>
      </c>
      <c r="S300" s="31">
        <v>30</v>
      </c>
      <c r="T300" s="14" t="s">
        <v>457</v>
      </c>
      <c r="U300" s="31">
        <v>0.03</v>
      </c>
      <c r="V300" s="31">
        <v>0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</row>
    <row r="301" spans="1:28" ht="29.1" customHeight="1" x14ac:dyDescent="0.3">
      <c r="A301" s="5" t="s">
        <v>621</v>
      </c>
      <c r="B301" s="5" t="s">
        <v>823</v>
      </c>
      <c r="C301" s="5" t="s">
        <v>823</v>
      </c>
      <c r="D301" s="5" t="s">
        <v>823</v>
      </c>
      <c r="E301" s="28">
        <v>0</v>
      </c>
      <c r="F301" s="28">
        <f>TRUNC(SUMIF(R298:R300, " ", F298:F300),0)</f>
        <v>1044</v>
      </c>
      <c r="G301" s="28">
        <v>0</v>
      </c>
      <c r="H301" s="28">
        <f>TRUNC(SUMIF(R298:R300, " ", H298:H300),0)</f>
        <v>34802</v>
      </c>
      <c r="I301" s="28">
        <v>0</v>
      </c>
      <c r="J301" s="27">
        <f>TRUNC(SUMIF(R298:R300, " ", J298:J300),0)</f>
        <v>0</v>
      </c>
      <c r="K301" s="20" t="s">
        <v>823</v>
      </c>
      <c r="L301" s="28">
        <f>F301+H301+J301</f>
        <v>35846</v>
      </c>
      <c r="M301" s="29"/>
      <c r="N301" s="24" t="s">
        <v>747</v>
      </c>
      <c r="O301" s="4" t="s">
        <v>747</v>
      </c>
    </row>
    <row r="302" spans="1:28" ht="29.1" customHeight="1" x14ac:dyDescent="0.3">
      <c r="A302" s="5" t="s">
        <v>823</v>
      </c>
      <c r="B302" s="5" t="s">
        <v>823</v>
      </c>
      <c r="C302" s="5" t="s">
        <v>823</v>
      </c>
      <c r="D302" s="5" t="s">
        <v>823</v>
      </c>
      <c r="E302" s="5" t="s">
        <v>823</v>
      </c>
      <c r="F302" s="5" t="s">
        <v>823</v>
      </c>
      <c r="G302" s="5" t="s">
        <v>823</v>
      </c>
      <c r="H302" s="5" t="s">
        <v>823</v>
      </c>
      <c r="I302" s="5" t="s">
        <v>823</v>
      </c>
      <c r="J302" s="5" t="s">
        <v>823</v>
      </c>
      <c r="K302" s="5" t="s">
        <v>823</v>
      </c>
      <c r="L302" s="5" t="s">
        <v>823</v>
      </c>
      <c r="M302" s="5" t="s">
        <v>823</v>
      </c>
    </row>
    <row r="303" spans="1:28" ht="29.1" customHeight="1" x14ac:dyDescent="0.3">
      <c r="A303" s="48" t="s">
        <v>6</v>
      </c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50"/>
      <c r="N303" s="7" t="s">
        <v>984</v>
      </c>
    </row>
    <row r="304" spans="1:28" ht="29.1" customHeight="1" x14ac:dyDescent="0.3">
      <c r="A304" s="5" t="s">
        <v>432</v>
      </c>
      <c r="B304" s="29" t="s">
        <v>269</v>
      </c>
      <c r="C304" s="5" t="s">
        <v>656</v>
      </c>
      <c r="D304" s="10">
        <v>0.41</v>
      </c>
      <c r="E304" s="28">
        <f>단가대비표!U83</f>
        <v>0</v>
      </c>
      <c r="F304" s="27">
        <f>TRUNC(D304*E304,2)</f>
        <v>0</v>
      </c>
      <c r="G304" s="28">
        <f>단가대비표!V83</f>
        <v>279613</v>
      </c>
      <c r="H304" s="27">
        <f>TRUNC(D304*G304,2)</f>
        <v>114641.33</v>
      </c>
      <c r="I304" s="28">
        <f>단가대비표!AE83</f>
        <v>0</v>
      </c>
      <c r="J304" s="27">
        <f>TRUNC(D304*I304,2)</f>
        <v>0</v>
      </c>
      <c r="K304" s="27">
        <f>E304+G304+I304</f>
        <v>279613</v>
      </c>
      <c r="L304" s="27">
        <f>F304+H304+J304</f>
        <v>114641.33</v>
      </c>
      <c r="M304" s="29" t="s">
        <v>1044</v>
      </c>
      <c r="N304" s="7" t="s">
        <v>984</v>
      </c>
      <c r="O304" s="14" t="s">
        <v>687</v>
      </c>
      <c r="P304" s="14" t="s">
        <v>823</v>
      </c>
      <c r="Q304" s="14" t="s">
        <v>823</v>
      </c>
      <c r="R304" s="14" t="s">
        <v>228</v>
      </c>
      <c r="S304" s="31">
        <v>10</v>
      </c>
      <c r="T304" s="14" t="s">
        <v>823</v>
      </c>
      <c r="U304" s="31">
        <v>0</v>
      </c>
      <c r="V304" s="31">
        <v>0</v>
      </c>
      <c r="W304" s="31">
        <v>0</v>
      </c>
      <c r="X304" s="31">
        <v>0</v>
      </c>
      <c r="Y304" s="31">
        <v>0</v>
      </c>
      <c r="Z304" s="31">
        <v>0</v>
      </c>
      <c r="AA304" s="31">
        <v>0</v>
      </c>
      <c r="AB304" s="31">
        <v>0</v>
      </c>
    </row>
    <row r="305" spans="1:28" ht="29.1" customHeight="1" x14ac:dyDescent="0.3">
      <c r="A305" s="5" t="s">
        <v>1250</v>
      </c>
      <c r="B305" s="29" t="s">
        <v>269</v>
      </c>
      <c r="C305" s="5" t="s">
        <v>656</v>
      </c>
      <c r="D305" s="10">
        <v>0.24</v>
      </c>
      <c r="E305" s="28">
        <f>단가대비표!U81</f>
        <v>0</v>
      </c>
      <c r="F305" s="27">
        <f>TRUNC(D305*E305,2)</f>
        <v>0</v>
      </c>
      <c r="G305" s="28">
        <f>단가대비표!V81</f>
        <v>171037</v>
      </c>
      <c r="H305" s="27">
        <f>TRUNC(D305*G305,2)</f>
        <v>41048.879999999997</v>
      </c>
      <c r="I305" s="28">
        <f>단가대비표!AE81</f>
        <v>0</v>
      </c>
      <c r="J305" s="27">
        <f>TRUNC(D305*I305,2)</f>
        <v>0</v>
      </c>
      <c r="K305" s="27">
        <f>E305+G305+I305</f>
        <v>171037</v>
      </c>
      <c r="L305" s="27">
        <f>F305+H305+J305</f>
        <v>41048.879999999997</v>
      </c>
      <c r="M305" s="29" t="s">
        <v>162</v>
      </c>
      <c r="N305" s="7" t="s">
        <v>984</v>
      </c>
      <c r="O305" s="14" t="s">
        <v>40</v>
      </c>
      <c r="P305" s="14" t="s">
        <v>823</v>
      </c>
      <c r="Q305" s="14" t="s">
        <v>823</v>
      </c>
      <c r="R305" s="14" t="s">
        <v>228</v>
      </c>
      <c r="S305" s="31">
        <v>20</v>
      </c>
      <c r="T305" s="14" t="s">
        <v>823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</row>
    <row r="306" spans="1:28" ht="29.1" customHeight="1" x14ac:dyDescent="0.3">
      <c r="A306" s="5" t="s">
        <v>621</v>
      </c>
      <c r="B306" s="5" t="s">
        <v>823</v>
      </c>
      <c r="C306" s="5" t="s">
        <v>823</v>
      </c>
      <c r="D306" s="5" t="s">
        <v>823</v>
      </c>
      <c r="E306" s="28">
        <v>0</v>
      </c>
      <c r="F306" s="28">
        <f>TRUNC(SUMIF(R304:R305, " ", F304:F305),0)</f>
        <v>0</v>
      </c>
      <c r="G306" s="28">
        <v>0</v>
      </c>
      <c r="H306" s="28">
        <f>TRUNC(SUMIF(R304:R305, " ", H304:H305),0)</f>
        <v>155690</v>
      </c>
      <c r="I306" s="28">
        <v>0</v>
      </c>
      <c r="J306" s="27">
        <f>TRUNC(SUMIF(R304:R305, " ", J304:J305),0)</f>
        <v>0</v>
      </c>
      <c r="K306" s="20" t="s">
        <v>823</v>
      </c>
      <c r="L306" s="28">
        <f>F306+H306+J306</f>
        <v>155690</v>
      </c>
      <c r="M306" s="29"/>
      <c r="N306" s="24" t="s">
        <v>747</v>
      </c>
      <c r="O306" s="4" t="s">
        <v>747</v>
      </c>
    </row>
    <row r="307" spans="1:28" ht="29.1" customHeight="1" x14ac:dyDescent="0.3">
      <c r="A307" s="5" t="s">
        <v>823</v>
      </c>
      <c r="B307" s="5" t="s">
        <v>823</v>
      </c>
      <c r="C307" s="5" t="s">
        <v>823</v>
      </c>
      <c r="D307" s="5" t="s">
        <v>823</v>
      </c>
      <c r="E307" s="5" t="s">
        <v>823</v>
      </c>
      <c r="F307" s="5" t="s">
        <v>823</v>
      </c>
      <c r="G307" s="5" t="s">
        <v>823</v>
      </c>
      <c r="H307" s="5" t="s">
        <v>823</v>
      </c>
      <c r="I307" s="5" t="s">
        <v>823</v>
      </c>
      <c r="J307" s="5" t="s">
        <v>823</v>
      </c>
      <c r="K307" s="5" t="s">
        <v>823</v>
      </c>
      <c r="L307" s="5" t="s">
        <v>823</v>
      </c>
      <c r="M307" s="5" t="s">
        <v>823</v>
      </c>
    </row>
    <row r="308" spans="1:28" ht="29.1" customHeight="1" x14ac:dyDescent="0.3">
      <c r="A308" s="48" t="s">
        <v>406</v>
      </c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50"/>
      <c r="N308" s="7" t="s">
        <v>380</v>
      </c>
    </row>
    <row r="309" spans="1:28" ht="29.1" customHeight="1" x14ac:dyDescent="0.3">
      <c r="A309" s="5" t="s">
        <v>432</v>
      </c>
      <c r="B309" s="29" t="s">
        <v>269</v>
      </c>
      <c r="C309" s="5" t="s">
        <v>656</v>
      </c>
      <c r="D309" s="10">
        <v>0.03</v>
      </c>
      <c r="E309" s="28">
        <f>단가대비표!U83</f>
        <v>0</v>
      </c>
      <c r="F309" s="27">
        <f>TRUNC(D309*E309,2)</f>
        <v>0</v>
      </c>
      <c r="G309" s="28">
        <f>단가대비표!V83</f>
        <v>279613</v>
      </c>
      <c r="H309" s="27">
        <f>TRUNC(D309*G309,2)</f>
        <v>8388.39</v>
      </c>
      <c r="I309" s="28">
        <f>단가대비표!AE83</f>
        <v>0</v>
      </c>
      <c r="J309" s="27">
        <f>TRUNC(D309*I309,2)</f>
        <v>0</v>
      </c>
      <c r="K309" s="27">
        <f t="shared" ref="K309:L311" si="57">E309+G309+I309</f>
        <v>279613</v>
      </c>
      <c r="L309" s="27">
        <f t="shared" si="57"/>
        <v>8388.39</v>
      </c>
      <c r="M309" s="29" t="s">
        <v>1044</v>
      </c>
      <c r="N309" s="7" t="s">
        <v>380</v>
      </c>
      <c r="O309" s="14" t="s">
        <v>687</v>
      </c>
      <c r="P309" s="14" t="s">
        <v>823</v>
      </c>
      <c r="Q309" s="14" t="s">
        <v>823</v>
      </c>
      <c r="R309" s="14" t="s">
        <v>228</v>
      </c>
      <c r="S309" s="31">
        <v>10</v>
      </c>
      <c r="T309" s="14" t="s">
        <v>823</v>
      </c>
      <c r="U309" s="31">
        <v>0</v>
      </c>
      <c r="V309" s="31">
        <v>1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</row>
    <row r="310" spans="1:28" ht="29.1" customHeight="1" x14ac:dyDescent="0.3">
      <c r="A310" s="5" t="s">
        <v>1250</v>
      </c>
      <c r="B310" s="29" t="s">
        <v>269</v>
      </c>
      <c r="C310" s="5" t="s">
        <v>656</v>
      </c>
      <c r="D310" s="10">
        <v>0.02</v>
      </c>
      <c r="E310" s="28">
        <f>단가대비표!U81</f>
        <v>0</v>
      </c>
      <c r="F310" s="27">
        <f>TRUNC(D310*E310,2)</f>
        <v>0</v>
      </c>
      <c r="G310" s="28">
        <f>단가대비표!V81</f>
        <v>171037</v>
      </c>
      <c r="H310" s="27">
        <f>TRUNC(D310*G310,2)</f>
        <v>3420.74</v>
      </c>
      <c r="I310" s="28">
        <f>단가대비표!AE81</f>
        <v>0</v>
      </c>
      <c r="J310" s="27">
        <f>TRUNC(D310*I310,2)</f>
        <v>0</v>
      </c>
      <c r="K310" s="27">
        <f t="shared" si="57"/>
        <v>171037</v>
      </c>
      <c r="L310" s="27">
        <f t="shared" si="57"/>
        <v>3420.74</v>
      </c>
      <c r="M310" s="29" t="s">
        <v>162</v>
      </c>
      <c r="N310" s="7" t="s">
        <v>380</v>
      </c>
      <c r="O310" s="14" t="s">
        <v>40</v>
      </c>
      <c r="P310" s="14" t="s">
        <v>823</v>
      </c>
      <c r="Q310" s="14" t="s">
        <v>823</v>
      </c>
      <c r="R310" s="14" t="s">
        <v>228</v>
      </c>
      <c r="S310" s="31">
        <v>20</v>
      </c>
      <c r="T310" s="14" t="s">
        <v>823</v>
      </c>
      <c r="U310" s="31">
        <v>0</v>
      </c>
      <c r="V310" s="31">
        <v>1</v>
      </c>
      <c r="W310" s="31">
        <v>0</v>
      </c>
      <c r="X310" s="31">
        <v>0</v>
      </c>
      <c r="Y310" s="31">
        <v>0</v>
      </c>
      <c r="Z310" s="31">
        <v>0</v>
      </c>
      <c r="AA310" s="31">
        <v>0</v>
      </c>
      <c r="AB310" s="31">
        <v>0</v>
      </c>
    </row>
    <row r="311" spans="1:28" ht="29.1" customHeight="1" x14ac:dyDescent="0.3">
      <c r="A311" s="5" t="s">
        <v>1195</v>
      </c>
      <c r="B311" s="29" t="s">
        <v>104</v>
      </c>
      <c r="C311" s="5" t="s">
        <v>136</v>
      </c>
      <c r="D311" s="10">
        <v>1</v>
      </c>
      <c r="E311" s="27">
        <v>0</v>
      </c>
      <c r="F311" s="27">
        <f>TRUNC(D311*E311,2)</f>
        <v>0</v>
      </c>
      <c r="G311" s="27">
        <v>0</v>
      </c>
      <c r="H311" s="27">
        <f>TRUNC(D311*G311,2)</f>
        <v>0</v>
      </c>
      <c r="I311" s="27">
        <f>TRUNC(SUMIF(V309:V311, RIGHTB(O311, 1), H309:H311)*U311, 2)</f>
        <v>236.18</v>
      </c>
      <c r="J311" s="27">
        <f>TRUNC(D311*I311,2)</f>
        <v>236.18</v>
      </c>
      <c r="K311" s="27">
        <f t="shared" si="57"/>
        <v>236.18</v>
      </c>
      <c r="L311" s="27">
        <f t="shared" si="57"/>
        <v>236.18</v>
      </c>
      <c r="M311" s="29" t="s">
        <v>823</v>
      </c>
      <c r="N311" s="7" t="s">
        <v>380</v>
      </c>
      <c r="O311" s="14" t="s">
        <v>572</v>
      </c>
      <c r="P311" s="14" t="s">
        <v>823</v>
      </c>
      <c r="Q311" s="14" t="s">
        <v>823</v>
      </c>
      <c r="R311" s="14" t="s">
        <v>228</v>
      </c>
      <c r="S311" s="31">
        <v>30</v>
      </c>
      <c r="T311" s="14" t="s">
        <v>366</v>
      </c>
      <c r="U311" s="31">
        <v>0.02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</row>
    <row r="312" spans="1:28" ht="29.1" customHeight="1" x14ac:dyDescent="0.3">
      <c r="A312" s="5" t="s">
        <v>621</v>
      </c>
      <c r="B312" s="5" t="s">
        <v>823</v>
      </c>
      <c r="C312" s="5" t="s">
        <v>823</v>
      </c>
      <c r="D312" s="5" t="s">
        <v>823</v>
      </c>
      <c r="E312" s="28">
        <v>0</v>
      </c>
      <c r="F312" s="28">
        <f>TRUNC(SUMIF(R309:R311, " ", F309:F311),0)</f>
        <v>0</v>
      </c>
      <c r="G312" s="28">
        <v>0</v>
      </c>
      <c r="H312" s="28">
        <f>TRUNC(SUMIF(R309:R311, " ", H309:H311),0)</f>
        <v>11809</v>
      </c>
      <c r="I312" s="28">
        <v>0</v>
      </c>
      <c r="J312" s="27">
        <f>TRUNC(SUMIF(R309:R311, " ", J309:J311),0)</f>
        <v>236</v>
      </c>
      <c r="K312" s="20" t="s">
        <v>823</v>
      </c>
      <c r="L312" s="28">
        <f>F312+H312+J312</f>
        <v>12045</v>
      </c>
      <c r="M312" s="29"/>
      <c r="N312" s="24" t="s">
        <v>747</v>
      </c>
      <c r="O312" s="4" t="s">
        <v>747</v>
      </c>
    </row>
    <row r="313" spans="1:28" ht="29.1" customHeight="1" x14ac:dyDescent="0.3">
      <c r="A313" s="5" t="s">
        <v>823</v>
      </c>
      <c r="B313" s="5" t="s">
        <v>823</v>
      </c>
      <c r="C313" s="5" t="s">
        <v>823</v>
      </c>
      <c r="D313" s="5" t="s">
        <v>823</v>
      </c>
      <c r="E313" s="5" t="s">
        <v>823</v>
      </c>
      <c r="F313" s="5" t="s">
        <v>823</v>
      </c>
      <c r="G313" s="5" t="s">
        <v>823</v>
      </c>
      <c r="H313" s="5" t="s">
        <v>823</v>
      </c>
      <c r="I313" s="5" t="s">
        <v>823</v>
      </c>
      <c r="J313" s="5" t="s">
        <v>823</v>
      </c>
      <c r="K313" s="5" t="s">
        <v>823</v>
      </c>
      <c r="L313" s="5" t="s">
        <v>823</v>
      </c>
      <c r="M313" s="5" t="s">
        <v>823</v>
      </c>
    </row>
    <row r="314" spans="1:28" ht="29.1" customHeight="1" x14ac:dyDescent="0.3">
      <c r="A314" s="48" t="s">
        <v>955</v>
      </c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50"/>
      <c r="N314" s="7" t="s">
        <v>69</v>
      </c>
    </row>
    <row r="315" spans="1:28" ht="29.1" customHeight="1" x14ac:dyDescent="0.3">
      <c r="A315" s="5" t="s">
        <v>92</v>
      </c>
      <c r="B315" s="29" t="s">
        <v>1152</v>
      </c>
      <c r="C315" s="5" t="s">
        <v>293</v>
      </c>
      <c r="D315" s="10">
        <v>0.1197</v>
      </c>
      <c r="E315" s="28">
        <f>단가대비표!U20</f>
        <v>4103</v>
      </c>
      <c r="F315" s="27">
        <f t="shared" ref="F315:F320" si="58">TRUNC(D315*E315,2)</f>
        <v>491.12</v>
      </c>
      <c r="G315" s="28">
        <f>단가대비표!V20</f>
        <v>0</v>
      </c>
      <c r="H315" s="27">
        <f t="shared" ref="H315:H320" si="59">TRUNC(D315*G315,2)</f>
        <v>0</v>
      </c>
      <c r="I315" s="28">
        <f>단가대비표!AE20</f>
        <v>0</v>
      </c>
      <c r="J315" s="27">
        <f t="shared" ref="J315:J320" si="60">TRUNC(D315*I315,2)</f>
        <v>0</v>
      </c>
      <c r="K315" s="27">
        <f t="shared" ref="K315:L320" si="61">E315+G315+I315</f>
        <v>4103</v>
      </c>
      <c r="L315" s="27">
        <f t="shared" si="61"/>
        <v>491.12</v>
      </c>
      <c r="M315" s="29" t="s">
        <v>194</v>
      </c>
      <c r="N315" s="7" t="s">
        <v>69</v>
      </c>
      <c r="O315" s="14" t="s">
        <v>207</v>
      </c>
      <c r="P315" s="14" t="s">
        <v>823</v>
      </c>
      <c r="Q315" s="14" t="s">
        <v>823</v>
      </c>
      <c r="R315" s="14" t="s">
        <v>228</v>
      </c>
      <c r="S315" s="31">
        <v>10</v>
      </c>
      <c r="T315" s="14" t="s">
        <v>1136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</row>
    <row r="316" spans="1:28" ht="29.1" customHeight="1" x14ac:dyDescent="0.3">
      <c r="A316" s="5" t="s">
        <v>1134</v>
      </c>
      <c r="B316" s="29" t="s">
        <v>1294</v>
      </c>
      <c r="C316" s="5" t="s">
        <v>1086</v>
      </c>
      <c r="D316" s="10">
        <v>0.03</v>
      </c>
      <c r="E316" s="28">
        <f>단가대비표!U21</f>
        <v>1400</v>
      </c>
      <c r="F316" s="27">
        <f t="shared" si="58"/>
        <v>42</v>
      </c>
      <c r="G316" s="28">
        <f>단가대비표!V21</f>
        <v>0</v>
      </c>
      <c r="H316" s="27">
        <f t="shared" si="59"/>
        <v>0</v>
      </c>
      <c r="I316" s="28">
        <f>단가대비표!AE21</f>
        <v>0</v>
      </c>
      <c r="J316" s="27">
        <f t="shared" si="60"/>
        <v>0</v>
      </c>
      <c r="K316" s="27">
        <f t="shared" si="61"/>
        <v>1400</v>
      </c>
      <c r="L316" s="27">
        <f t="shared" si="61"/>
        <v>42</v>
      </c>
      <c r="M316" s="29" t="s">
        <v>513</v>
      </c>
      <c r="N316" s="7" t="s">
        <v>69</v>
      </c>
      <c r="O316" s="14" t="s">
        <v>67</v>
      </c>
      <c r="P316" s="14" t="s">
        <v>823</v>
      </c>
      <c r="Q316" s="14" t="s">
        <v>823</v>
      </c>
      <c r="R316" s="14" t="s">
        <v>228</v>
      </c>
      <c r="S316" s="31">
        <v>20</v>
      </c>
      <c r="T316" s="14" t="s">
        <v>175</v>
      </c>
      <c r="U316" s="31">
        <v>0</v>
      </c>
      <c r="V316" s="31">
        <v>0</v>
      </c>
      <c r="W316" s="31">
        <v>0</v>
      </c>
      <c r="X316" s="31">
        <v>0</v>
      </c>
      <c r="Y316" s="31">
        <v>0</v>
      </c>
      <c r="Z316" s="31">
        <v>0</v>
      </c>
      <c r="AA316" s="31">
        <v>0</v>
      </c>
      <c r="AB316" s="31">
        <v>0</v>
      </c>
    </row>
    <row r="317" spans="1:28" ht="29.1" customHeight="1" x14ac:dyDescent="0.3">
      <c r="A317" s="5" t="s">
        <v>1134</v>
      </c>
      <c r="B317" s="29" t="s">
        <v>994</v>
      </c>
      <c r="C317" s="5" t="s">
        <v>1086</v>
      </c>
      <c r="D317" s="10">
        <v>0.12479999999999999</v>
      </c>
      <c r="E317" s="28">
        <f>단가대비표!U22</f>
        <v>1560</v>
      </c>
      <c r="F317" s="27">
        <f t="shared" si="58"/>
        <v>194.68</v>
      </c>
      <c r="G317" s="28">
        <f>단가대비표!V22</f>
        <v>0</v>
      </c>
      <c r="H317" s="27">
        <f t="shared" si="59"/>
        <v>0</v>
      </c>
      <c r="I317" s="28">
        <f>단가대비표!AE22</f>
        <v>0</v>
      </c>
      <c r="J317" s="27">
        <f t="shared" si="60"/>
        <v>0</v>
      </c>
      <c r="K317" s="27">
        <f t="shared" si="61"/>
        <v>1560</v>
      </c>
      <c r="L317" s="27">
        <f t="shared" si="61"/>
        <v>194.68</v>
      </c>
      <c r="M317" s="29" t="s">
        <v>478</v>
      </c>
      <c r="N317" s="7" t="s">
        <v>69</v>
      </c>
      <c r="O317" s="14" t="s">
        <v>974</v>
      </c>
      <c r="P317" s="14" t="s">
        <v>823</v>
      </c>
      <c r="Q317" s="14" t="s">
        <v>823</v>
      </c>
      <c r="R317" s="14" t="s">
        <v>228</v>
      </c>
      <c r="S317" s="31">
        <v>30</v>
      </c>
      <c r="T317" s="14" t="s">
        <v>674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</row>
    <row r="318" spans="1:28" ht="29.1" customHeight="1" x14ac:dyDescent="0.3">
      <c r="A318" s="5" t="s">
        <v>1134</v>
      </c>
      <c r="B318" s="29" t="s">
        <v>686</v>
      </c>
      <c r="C318" s="5" t="s">
        <v>1086</v>
      </c>
      <c r="D318" s="10">
        <v>1.8E-3</v>
      </c>
      <c r="E318" s="28">
        <f>단가대비표!U23</f>
        <v>3500</v>
      </c>
      <c r="F318" s="27">
        <f t="shared" si="58"/>
        <v>6.3</v>
      </c>
      <c r="G318" s="28">
        <f>단가대비표!V23</f>
        <v>0</v>
      </c>
      <c r="H318" s="27">
        <f t="shared" si="59"/>
        <v>0</v>
      </c>
      <c r="I318" s="28">
        <f>단가대비표!AE23</f>
        <v>0</v>
      </c>
      <c r="J318" s="27">
        <f t="shared" si="60"/>
        <v>0</v>
      </c>
      <c r="K318" s="27">
        <f t="shared" si="61"/>
        <v>3500</v>
      </c>
      <c r="L318" s="27">
        <f t="shared" si="61"/>
        <v>6.3</v>
      </c>
      <c r="M318" s="29" t="s">
        <v>382</v>
      </c>
      <c r="N318" s="7" t="s">
        <v>69</v>
      </c>
      <c r="O318" s="14" t="s">
        <v>1090</v>
      </c>
      <c r="P318" s="14" t="s">
        <v>823</v>
      </c>
      <c r="Q318" s="14" t="s">
        <v>823</v>
      </c>
      <c r="R318" s="14" t="s">
        <v>228</v>
      </c>
      <c r="S318" s="31">
        <v>40</v>
      </c>
      <c r="T318" s="14" t="s">
        <v>46</v>
      </c>
      <c r="U318" s="31">
        <v>0</v>
      </c>
      <c r="V318" s="31">
        <v>0</v>
      </c>
      <c r="W318" s="31">
        <v>0</v>
      </c>
      <c r="X318" s="31">
        <v>0</v>
      </c>
      <c r="Y318" s="31">
        <v>0</v>
      </c>
      <c r="Z318" s="31">
        <v>0</v>
      </c>
      <c r="AA318" s="31">
        <v>0</v>
      </c>
      <c r="AB318" s="31">
        <v>0</v>
      </c>
    </row>
    <row r="319" spans="1:28" ht="29.1" customHeight="1" x14ac:dyDescent="0.3">
      <c r="A319" s="5" t="s">
        <v>1134</v>
      </c>
      <c r="B319" s="29" t="s">
        <v>429</v>
      </c>
      <c r="C319" s="5" t="s">
        <v>1086</v>
      </c>
      <c r="D319" s="10">
        <v>0.02</v>
      </c>
      <c r="E319" s="28">
        <f>단가대비표!U24</f>
        <v>900</v>
      </c>
      <c r="F319" s="27">
        <f t="shared" si="58"/>
        <v>18</v>
      </c>
      <c r="G319" s="28">
        <f>단가대비표!V24</f>
        <v>0</v>
      </c>
      <c r="H319" s="27">
        <f t="shared" si="59"/>
        <v>0</v>
      </c>
      <c r="I319" s="28">
        <f>단가대비표!AE24</f>
        <v>0</v>
      </c>
      <c r="J319" s="27">
        <f t="shared" si="60"/>
        <v>0</v>
      </c>
      <c r="K319" s="27">
        <f t="shared" si="61"/>
        <v>900</v>
      </c>
      <c r="L319" s="27">
        <f t="shared" si="61"/>
        <v>18</v>
      </c>
      <c r="M319" s="29" t="s">
        <v>463</v>
      </c>
      <c r="N319" s="7" t="s">
        <v>69</v>
      </c>
      <c r="O319" s="14" t="s">
        <v>2</v>
      </c>
      <c r="P319" s="14" t="s">
        <v>823</v>
      </c>
      <c r="Q319" s="14" t="s">
        <v>823</v>
      </c>
      <c r="R319" s="14" t="s">
        <v>228</v>
      </c>
      <c r="S319" s="31">
        <v>45</v>
      </c>
      <c r="T319" s="14" t="s">
        <v>1149</v>
      </c>
      <c r="U319" s="31">
        <v>0</v>
      </c>
      <c r="V319" s="31">
        <v>0</v>
      </c>
      <c r="W319" s="31">
        <v>0</v>
      </c>
      <c r="X319" s="31">
        <v>0</v>
      </c>
      <c r="Y319" s="31">
        <v>0</v>
      </c>
      <c r="Z319" s="31">
        <v>0</v>
      </c>
      <c r="AA319" s="31">
        <v>0</v>
      </c>
      <c r="AB319" s="31">
        <v>0</v>
      </c>
    </row>
    <row r="320" spans="1:28" ht="29.1" customHeight="1" x14ac:dyDescent="0.3">
      <c r="A320" s="5" t="s">
        <v>50</v>
      </c>
      <c r="B320" s="29" t="s">
        <v>247</v>
      </c>
      <c r="C320" s="5" t="s">
        <v>1004</v>
      </c>
      <c r="D320" s="10">
        <v>1</v>
      </c>
      <c r="E320" s="28">
        <f>일위대가목록!E49</f>
        <v>0</v>
      </c>
      <c r="F320" s="27">
        <f t="shared" si="58"/>
        <v>0</v>
      </c>
      <c r="G320" s="28">
        <f>일위대가목록!F49</f>
        <v>11809</v>
      </c>
      <c r="H320" s="27">
        <f t="shared" si="59"/>
        <v>11809</v>
      </c>
      <c r="I320" s="28">
        <f>일위대가목록!G49</f>
        <v>236</v>
      </c>
      <c r="J320" s="27">
        <f t="shared" si="60"/>
        <v>236</v>
      </c>
      <c r="K320" s="27">
        <f t="shared" si="61"/>
        <v>12045</v>
      </c>
      <c r="L320" s="27">
        <f t="shared" si="61"/>
        <v>12045</v>
      </c>
      <c r="M320" s="29" t="s">
        <v>1218</v>
      </c>
      <c r="N320" s="7" t="s">
        <v>69</v>
      </c>
      <c r="O320" s="14" t="s">
        <v>380</v>
      </c>
      <c r="P320" s="14" t="s">
        <v>823</v>
      </c>
      <c r="Q320" s="14" t="s">
        <v>823</v>
      </c>
      <c r="R320" s="14" t="s">
        <v>228</v>
      </c>
      <c r="S320" s="31">
        <v>70</v>
      </c>
      <c r="T320" s="14" t="s">
        <v>997</v>
      </c>
      <c r="U320" s="31">
        <v>0</v>
      </c>
      <c r="V320" s="31">
        <v>0</v>
      </c>
      <c r="W320" s="31">
        <v>0</v>
      </c>
      <c r="X320" s="31">
        <v>0</v>
      </c>
      <c r="Y320" s="31">
        <v>0</v>
      </c>
      <c r="Z320" s="31">
        <v>0</v>
      </c>
      <c r="AA320" s="31">
        <v>0</v>
      </c>
      <c r="AB320" s="31">
        <v>0</v>
      </c>
    </row>
    <row r="321" spans="1:28" ht="29.1" customHeight="1" x14ac:dyDescent="0.3">
      <c r="A321" s="5" t="s">
        <v>621</v>
      </c>
      <c r="B321" s="5" t="s">
        <v>823</v>
      </c>
      <c r="C321" s="5" t="s">
        <v>823</v>
      </c>
      <c r="D321" s="5" t="s">
        <v>823</v>
      </c>
      <c r="E321" s="28">
        <v>0</v>
      </c>
      <c r="F321" s="28">
        <f>TRUNC(SUMIF(R315:R320, " ", F315:F320),0)</f>
        <v>752</v>
      </c>
      <c r="G321" s="28">
        <v>0</v>
      </c>
      <c r="H321" s="28">
        <f>TRUNC(SUMIF(R315:R320, " ", H315:H320),0)</f>
        <v>11809</v>
      </c>
      <c r="I321" s="28">
        <v>0</v>
      </c>
      <c r="J321" s="27">
        <f>TRUNC(SUMIF(R315:R320, " ", J315:J320),0)</f>
        <v>236</v>
      </c>
      <c r="K321" s="20" t="s">
        <v>823</v>
      </c>
      <c r="L321" s="28">
        <f>F321+H321+J321</f>
        <v>12797</v>
      </c>
      <c r="M321" s="29"/>
      <c r="N321" s="24" t="s">
        <v>747</v>
      </c>
      <c r="O321" s="4" t="s">
        <v>747</v>
      </c>
    </row>
    <row r="322" spans="1:28" ht="29.1" customHeight="1" x14ac:dyDescent="0.3">
      <c r="A322" s="5" t="s">
        <v>823</v>
      </c>
      <c r="B322" s="5" t="s">
        <v>823</v>
      </c>
      <c r="C322" s="5" t="s">
        <v>823</v>
      </c>
      <c r="D322" s="5" t="s">
        <v>823</v>
      </c>
      <c r="E322" s="5" t="s">
        <v>823</v>
      </c>
      <c r="F322" s="5" t="s">
        <v>823</v>
      </c>
      <c r="G322" s="5" t="s">
        <v>823</v>
      </c>
      <c r="H322" s="5" t="s">
        <v>823</v>
      </c>
      <c r="I322" s="5" t="s">
        <v>823</v>
      </c>
      <c r="J322" s="5" t="s">
        <v>823</v>
      </c>
      <c r="K322" s="5" t="s">
        <v>823</v>
      </c>
      <c r="L322" s="5" t="s">
        <v>823</v>
      </c>
      <c r="M322" s="5" t="s">
        <v>823</v>
      </c>
    </row>
    <row r="323" spans="1:28" ht="29.1" customHeight="1" x14ac:dyDescent="0.3">
      <c r="A323" s="48" t="s">
        <v>1049</v>
      </c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50"/>
      <c r="N323" s="7" t="s">
        <v>61</v>
      </c>
    </row>
    <row r="324" spans="1:28" ht="29.1" customHeight="1" x14ac:dyDescent="0.3">
      <c r="A324" s="5" t="s">
        <v>1067</v>
      </c>
      <c r="B324" s="29" t="s">
        <v>1248</v>
      </c>
      <c r="C324" s="5" t="s">
        <v>1004</v>
      </c>
      <c r="D324" s="10">
        <v>1.1000000000000001</v>
      </c>
      <c r="E324" s="28">
        <f>단가대비표!U16</f>
        <v>1350</v>
      </c>
      <c r="F324" s="27">
        <f>TRUNC(D324*E324,2)</f>
        <v>1485</v>
      </c>
      <c r="G324" s="28">
        <f>단가대비표!V16</f>
        <v>0</v>
      </c>
      <c r="H324" s="27">
        <f>TRUNC(D324*G324,2)</f>
        <v>0</v>
      </c>
      <c r="I324" s="28">
        <f>단가대비표!AE16</f>
        <v>0</v>
      </c>
      <c r="J324" s="27">
        <f>TRUNC(D324*I324,2)</f>
        <v>0</v>
      </c>
      <c r="K324" s="27">
        <f t="shared" ref="K324:L326" si="62">E324+G324+I324</f>
        <v>1350</v>
      </c>
      <c r="L324" s="27">
        <f t="shared" si="62"/>
        <v>1485</v>
      </c>
      <c r="M324" s="29" t="s">
        <v>1311</v>
      </c>
      <c r="N324" s="7" t="s">
        <v>61</v>
      </c>
      <c r="O324" s="14" t="s">
        <v>718</v>
      </c>
      <c r="P324" s="14" t="s">
        <v>823</v>
      </c>
      <c r="Q324" s="14" t="s">
        <v>823</v>
      </c>
      <c r="R324" s="14" t="s">
        <v>228</v>
      </c>
      <c r="S324" s="31">
        <v>20</v>
      </c>
      <c r="T324" s="14" t="s">
        <v>798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</row>
    <row r="325" spans="1:28" ht="29.1" customHeight="1" x14ac:dyDescent="0.3">
      <c r="A325" s="5" t="s">
        <v>526</v>
      </c>
      <c r="B325" s="29" t="s">
        <v>269</v>
      </c>
      <c r="C325" s="5" t="s">
        <v>656</v>
      </c>
      <c r="D325" s="10">
        <v>0.01</v>
      </c>
      <c r="E325" s="28">
        <f>단가대비표!U82</f>
        <v>0</v>
      </c>
      <c r="F325" s="27">
        <f>TRUNC(D325*E325,2)</f>
        <v>0</v>
      </c>
      <c r="G325" s="28">
        <f>단가대비표!V82</f>
        <v>224490</v>
      </c>
      <c r="H325" s="27">
        <f>TRUNC(D325*G325,2)</f>
        <v>2244.9</v>
      </c>
      <c r="I325" s="28">
        <f>단가대비표!AE82</f>
        <v>0</v>
      </c>
      <c r="J325" s="27">
        <f>TRUNC(D325*I325,2)</f>
        <v>0</v>
      </c>
      <c r="K325" s="27">
        <f t="shared" si="62"/>
        <v>224490</v>
      </c>
      <c r="L325" s="27">
        <f t="shared" si="62"/>
        <v>2244.9</v>
      </c>
      <c r="M325" s="29" t="s">
        <v>758</v>
      </c>
      <c r="N325" s="7" t="s">
        <v>61</v>
      </c>
      <c r="O325" s="14" t="s">
        <v>1315</v>
      </c>
      <c r="P325" s="14" t="s">
        <v>823</v>
      </c>
      <c r="Q325" s="14" t="s">
        <v>823</v>
      </c>
      <c r="R325" s="14" t="s">
        <v>228</v>
      </c>
      <c r="S325" s="31">
        <v>30</v>
      </c>
      <c r="T325" s="14" t="s">
        <v>1321</v>
      </c>
      <c r="U325" s="31">
        <v>0</v>
      </c>
      <c r="V325" s="31">
        <v>0</v>
      </c>
      <c r="W325" s="31">
        <v>0</v>
      </c>
      <c r="X325" s="31">
        <v>0</v>
      </c>
      <c r="Y325" s="31">
        <v>0</v>
      </c>
      <c r="Z325" s="31">
        <v>0</v>
      </c>
      <c r="AA325" s="31">
        <v>0</v>
      </c>
      <c r="AB325" s="31">
        <v>0</v>
      </c>
    </row>
    <row r="326" spans="1:28" ht="29.1" customHeight="1" x14ac:dyDescent="0.3">
      <c r="A326" s="5" t="s">
        <v>1250</v>
      </c>
      <c r="B326" s="29" t="s">
        <v>269</v>
      </c>
      <c r="C326" s="5" t="s">
        <v>656</v>
      </c>
      <c r="D326" s="10">
        <v>5.0000000000000001E-3</v>
      </c>
      <c r="E326" s="28">
        <f>단가대비표!U81</f>
        <v>0</v>
      </c>
      <c r="F326" s="27">
        <f>TRUNC(D326*E326,2)</f>
        <v>0</v>
      </c>
      <c r="G326" s="28">
        <f>단가대비표!V81</f>
        <v>171037</v>
      </c>
      <c r="H326" s="27">
        <f>TRUNC(D326*G326,2)</f>
        <v>855.18</v>
      </c>
      <c r="I326" s="28">
        <f>단가대비표!AE81</f>
        <v>0</v>
      </c>
      <c r="J326" s="27">
        <f>TRUNC(D326*I326,2)</f>
        <v>0</v>
      </c>
      <c r="K326" s="27">
        <f t="shared" si="62"/>
        <v>171037</v>
      </c>
      <c r="L326" s="27">
        <f t="shared" si="62"/>
        <v>855.18</v>
      </c>
      <c r="M326" s="29" t="s">
        <v>162</v>
      </c>
      <c r="N326" s="7" t="s">
        <v>61</v>
      </c>
      <c r="O326" s="14" t="s">
        <v>40</v>
      </c>
      <c r="P326" s="14" t="s">
        <v>823</v>
      </c>
      <c r="Q326" s="14" t="s">
        <v>823</v>
      </c>
      <c r="R326" s="14" t="s">
        <v>228</v>
      </c>
      <c r="S326" s="31">
        <v>40</v>
      </c>
      <c r="T326" s="14" t="s">
        <v>722</v>
      </c>
      <c r="U326" s="31">
        <v>0</v>
      </c>
      <c r="V326" s="31">
        <v>0</v>
      </c>
      <c r="W326" s="31">
        <v>0</v>
      </c>
      <c r="X326" s="31">
        <v>0</v>
      </c>
      <c r="Y326" s="31">
        <v>0</v>
      </c>
      <c r="Z326" s="31">
        <v>0</v>
      </c>
      <c r="AA326" s="31">
        <v>0</v>
      </c>
      <c r="AB326" s="31">
        <v>0</v>
      </c>
    </row>
    <row r="327" spans="1:28" ht="29.1" customHeight="1" x14ac:dyDescent="0.3">
      <c r="A327" s="5" t="s">
        <v>621</v>
      </c>
      <c r="B327" s="5" t="s">
        <v>823</v>
      </c>
      <c r="C327" s="5" t="s">
        <v>823</v>
      </c>
      <c r="D327" s="5" t="s">
        <v>823</v>
      </c>
      <c r="E327" s="28">
        <v>0</v>
      </c>
      <c r="F327" s="28">
        <f>TRUNC(SUMIF(R324:R326, " ", F324:F326),0)</f>
        <v>1485</v>
      </c>
      <c r="G327" s="28">
        <v>0</v>
      </c>
      <c r="H327" s="28">
        <f>TRUNC(SUMIF(R324:R326, " ", H324:H326),0)</f>
        <v>3100</v>
      </c>
      <c r="I327" s="28">
        <v>0</v>
      </c>
      <c r="J327" s="27">
        <f>TRUNC(SUMIF(R324:R326, " ", J324:J326),0)</f>
        <v>0</v>
      </c>
      <c r="K327" s="20" t="s">
        <v>823</v>
      </c>
      <c r="L327" s="28">
        <f>F327+H327+J327</f>
        <v>4585</v>
      </c>
      <c r="M327" s="29"/>
      <c r="N327" s="24" t="s">
        <v>747</v>
      </c>
      <c r="O327" s="4" t="s">
        <v>747</v>
      </c>
    </row>
    <row r="328" spans="1:28" ht="29.1" customHeight="1" x14ac:dyDescent="0.3">
      <c r="A328" s="5" t="s">
        <v>823</v>
      </c>
      <c r="B328" s="5" t="s">
        <v>823</v>
      </c>
      <c r="C328" s="5" t="s">
        <v>823</v>
      </c>
      <c r="D328" s="5" t="s">
        <v>823</v>
      </c>
      <c r="E328" s="5" t="s">
        <v>823</v>
      </c>
      <c r="F328" s="5" t="s">
        <v>823</v>
      </c>
      <c r="G328" s="5" t="s">
        <v>823</v>
      </c>
      <c r="H328" s="5" t="s">
        <v>823</v>
      </c>
      <c r="I328" s="5" t="s">
        <v>823</v>
      </c>
      <c r="J328" s="5" t="s">
        <v>823</v>
      </c>
      <c r="K328" s="5" t="s">
        <v>823</v>
      </c>
      <c r="L328" s="5" t="s">
        <v>823</v>
      </c>
      <c r="M328" s="5" t="s">
        <v>823</v>
      </c>
    </row>
    <row r="329" spans="1:28" ht="29.1" customHeight="1" x14ac:dyDescent="0.3">
      <c r="A329" s="48" t="s">
        <v>1061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50"/>
      <c r="N329" s="7" t="s">
        <v>676</v>
      </c>
    </row>
    <row r="330" spans="1:28" ht="29.1" customHeight="1" x14ac:dyDescent="0.3">
      <c r="A330" s="5" t="s">
        <v>432</v>
      </c>
      <c r="B330" s="29" t="s">
        <v>269</v>
      </c>
      <c r="C330" s="5" t="s">
        <v>656</v>
      </c>
      <c r="D330" s="10">
        <v>0.1</v>
      </c>
      <c r="E330" s="28">
        <f>단가대비표!U83</f>
        <v>0</v>
      </c>
      <c r="F330" s="27">
        <f>TRUNC(D330*E330,2)</f>
        <v>0</v>
      </c>
      <c r="G330" s="28">
        <f>단가대비표!V83</f>
        <v>279613</v>
      </c>
      <c r="H330" s="27">
        <f>TRUNC(D330*G330,2)</f>
        <v>27961.3</v>
      </c>
      <c r="I330" s="28">
        <f>단가대비표!AE83</f>
        <v>0</v>
      </c>
      <c r="J330" s="27">
        <f>TRUNC(D330*I330,2)</f>
        <v>0</v>
      </c>
      <c r="K330" s="27">
        <f>E330+G330+I330</f>
        <v>279613</v>
      </c>
      <c r="L330" s="27">
        <f>F330+H330+J330</f>
        <v>27961.3</v>
      </c>
      <c r="M330" s="29" t="s">
        <v>1044</v>
      </c>
      <c r="N330" s="7" t="s">
        <v>676</v>
      </c>
      <c r="O330" s="14" t="s">
        <v>687</v>
      </c>
      <c r="P330" s="14" t="s">
        <v>823</v>
      </c>
      <c r="Q330" s="14" t="s">
        <v>823</v>
      </c>
      <c r="R330" s="14" t="s">
        <v>228</v>
      </c>
      <c r="S330" s="31">
        <v>10</v>
      </c>
      <c r="T330" s="14" t="s">
        <v>823</v>
      </c>
      <c r="U330" s="31">
        <v>0</v>
      </c>
      <c r="V330" s="31">
        <v>0</v>
      </c>
      <c r="W330" s="31">
        <v>0</v>
      </c>
      <c r="X330" s="31">
        <v>0</v>
      </c>
      <c r="Y330" s="31">
        <v>0</v>
      </c>
      <c r="Z330" s="31">
        <v>0</v>
      </c>
      <c r="AA330" s="31">
        <v>0</v>
      </c>
      <c r="AB330" s="31">
        <v>0</v>
      </c>
    </row>
    <row r="331" spans="1:28" ht="29.1" customHeight="1" x14ac:dyDescent="0.3">
      <c r="A331" s="5" t="s">
        <v>621</v>
      </c>
      <c r="B331" s="5" t="s">
        <v>823</v>
      </c>
      <c r="C331" s="5" t="s">
        <v>823</v>
      </c>
      <c r="D331" s="5" t="s">
        <v>823</v>
      </c>
      <c r="E331" s="28">
        <v>0</v>
      </c>
      <c r="F331" s="28">
        <f>TRUNC(SUMIF(R330:R330, " ", F330:F330),0)</f>
        <v>0</v>
      </c>
      <c r="G331" s="28">
        <v>0</v>
      </c>
      <c r="H331" s="28">
        <f>TRUNC(SUMIF(R330:R330, " ", H330:H330),0)</f>
        <v>27961</v>
      </c>
      <c r="I331" s="28">
        <v>0</v>
      </c>
      <c r="J331" s="27">
        <f>TRUNC(SUMIF(R330:R330, " ", J330:J330),0)</f>
        <v>0</v>
      </c>
      <c r="K331" s="20" t="s">
        <v>823</v>
      </c>
      <c r="L331" s="28">
        <f>F331+H331+J331</f>
        <v>27961</v>
      </c>
      <c r="M331" s="29"/>
      <c r="N331" s="24" t="s">
        <v>747</v>
      </c>
      <c r="O331" s="4" t="s">
        <v>747</v>
      </c>
    </row>
    <row r="332" spans="1:28" ht="29.1" customHeight="1" x14ac:dyDescent="0.3">
      <c r="A332" s="5" t="s">
        <v>823</v>
      </c>
      <c r="B332" s="5" t="s">
        <v>823</v>
      </c>
      <c r="C332" s="5" t="s">
        <v>823</v>
      </c>
      <c r="D332" s="5" t="s">
        <v>823</v>
      </c>
      <c r="E332" s="5" t="s">
        <v>823</v>
      </c>
      <c r="F332" s="5" t="s">
        <v>823</v>
      </c>
      <c r="G332" s="5" t="s">
        <v>823</v>
      </c>
      <c r="H332" s="5" t="s">
        <v>823</v>
      </c>
      <c r="I332" s="5" t="s">
        <v>823</v>
      </c>
      <c r="J332" s="5" t="s">
        <v>823</v>
      </c>
      <c r="K332" s="5" t="s">
        <v>823</v>
      </c>
      <c r="L332" s="5" t="s">
        <v>823</v>
      </c>
      <c r="M332" s="5" t="s">
        <v>823</v>
      </c>
    </row>
    <row r="333" spans="1:28" ht="29.1" customHeight="1" x14ac:dyDescent="0.3">
      <c r="A333" s="48" t="s">
        <v>334</v>
      </c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50"/>
      <c r="N333" s="7" t="s">
        <v>1253</v>
      </c>
    </row>
    <row r="334" spans="1:28" ht="29.1" customHeight="1" x14ac:dyDescent="0.3">
      <c r="A334" s="5" t="s">
        <v>1133</v>
      </c>
      <c r="B334" s="29"/>
      <c r="C334" s="5" t="s">
        <v>1004</v>
      </c>
      <c r="D334" s="10">
        <v>1.05</v>
      </c>
      <c r="E334" s="28">
        <f>단가대비표!U42</f>
        <v>440</v>
      </c>
      <c r="F334" s="27">
        <f>TRUNC(D334*E334,2)</f>
        <v>462</v>
      </c>
      <c r="G334" s="28">
        <f>단가대비표!V42</f>
        <v>0</v>
      </c>
      <c r="H334" s="27">
        <f>TRUNC(D334*G334,2)</f>
        <v>0</v>
      </c>
      <c r="I334" s="28">
        <f>단가대비표!AE42</f>
        <v>0</v>
      </c>
      <c r="J334" s="27">
        <f>TRUNC(D334*I334,2)</f>
        <v>0</v>
      </c>
      <c r="K334" s="27">
        <f>E334+G334+I334</f>
        <v>440</v>
      </c>
      <c r="L334" s="27">
        <f>F334+H334+J334</f>
        <v>462</v>
      </c>
      <c r="M334" s="29" t="s">
        <v>112</v>
      </c>
      <c r="N334" s="7" t="s">
        <v>1253</v>
      </c>
      <c r="O334" s="14" t="s">
        <v>548</v>
      </c>
      <c r="P334" s="14" t="s">
        <v>823</v>
      </c>
      <c r="Q334" s="14" t="s">
        <v>823</v>
      </c>
      <c r="R334" s="14" t="s">
        <v>228</v>
      </c>
      <c r="S334" s="31">
        <v>10</v>
      </c>
      <c r="T334" s="14" t="s">
        <v>823</v>
      </c>
      <c r="U334" s="31">
        <v>0</v>
      </c>
      <c r="V334" s="31">
        <v>0</v>
      </c>
      <c r="W334" s="31">
        <v>0</v>
      </c>
      <c r="X334" s="31">
        <v>0</v>
      </c>
      <c r="Y334" s="31">
        <v>0</v>
      </c>
      <c r="Z334" s="31">
        <v>0</v>
      </c>
      <c r="AA334" s="31">
        <v>0</v>
      </c>
      <c r="AB334" s="31">
        <v>0</v>
      </c>
    </row>
    <row r="335" spans="1:28" ht="29.1" customHeight="1" x14ac:dyDescent="0.3">
      <c r="A335" s="5" t="s">
        <v>431</v>
      </c>
      <c r="B335" s="29" t="s">
        <v>351</v>
      </c>
      <c r="C335" s="5" t="s">
        <v>524</v>
      </c>
      <c r="D335" s="10">
        <v>0.1</v>
      </c>
      <c r="E335" s="28">
        <f>일위대가목록!E52</f>
        <v>0</v>
      </c>
      <c r="F335" s="27">
        <f>TRUNC(D335*E335,2)</f>
        <v>0</v>
      </c>
      <c r="G335" s="28">
        <f>일위대가목록!F52</f>
        <v>27961</v>
      </c>
      <c r="H335" s="27">
        <f>TRUNC(D335*G335,2)</f>
        <v>2796.1</v>
      </c>
      <c r="I335" s="28">
        <f>일위대가목록!G52</f>
        <v>0</v>
      </c>
      <c r="J335" s="27">
        <f>TRUNC(D335*I335,2)</f>
        <v>0</v>
      </c>
      <c r="K335" s="27">
        <f>E335+G335+I335</f>
        <v>27961</v>
      </c>
      <c r="L335" s="27">
        <f>F335+H335+J335</f>
        <v>2796.1</v>
      </c>
      <c r="M335" s="29" t="s">
        <v>346</v>
      </c>
      <c r="N335" s="7" t="s">
        <v>1253</v>
      </c>
      <c r="O335" s="14" t="s">
        <v>676</v>
      </c>
      <c r="P335" s="14" t="s">
        <v>823</v>
      </c>
      <c r="Q335" s="14" t="s">
        <v>823</v>
      </c>
      <c r="R335" s="14" t="s">
        <v>228</v>
      </c>
      <c r="S335" s="31">
        <v>20</v>
      </c>
      <c r="T335" s="14" t="s">
        <v>1268</v>
      </c>
      <c r="U335" s="31">
        <v>0</v>
      </c>
      <c r="V335" s="31">
        <v>0</v>
      </c>
      <c r="W335" s="31">
        <v>0</v>
      </c>
      <c r="X335" s="31">
        <v>0</v>
      </c>
      <c r="Y335" s="31">
        <v>0</v>
      </c>
      <c r="Z335" s="31">
        <v>0</v>
      </c>
      <c r="AA335" s="31">
        <v>0</v>
      </c>
      <c r="AB335" s="31">
        <v>0</v>
      </c>
    </row>
    <row r="336" spans="1:28" ht="29.1" customHeight="1" x14ac:dyDescent="0.3">
      <c r="A336" s="5" t="s">
        <v>621</v>
      </c>
      <c r="B336" s="5" t="s">
        <v>823</v>
      </c>
      <c r="C336" s="5" t="s">
        <v>823</v>
      </c>
      <c r="D336" s="5" t="s">
        <v>823</v>
      </c>
      <c r="E336" s="28">
        <v>0</v>
      </c>
      <c r="F336" s="28">
        <f>TRUNC(SUMIF(R334:R335, " ", F334:F335),0)</f>
        <v>462</v>
      </c>
      <c r="G336" s="28">
        <v>0</v>
      </c>
      <c r="H336" s="28">
        <f>TRUNC(SUMIF(R334:R335, " ", H334:H335),0)</f>
        <v>2796</v>
      </c>
      <c r="I336" s="28">
        <v>0</v>
      </c>
      <c r="J336" s="27">
        <f>TRUNC(SUMIF(R334:R335, " ", J334:J335),0)</f>
        <v>0</v>
      </c>
      <c r="K336" s="20" t="s">
        <v>823</v>
      </c>
      <c r="L336" s="28">
        <f>F336+H336+J336</f>
        <v>3258</v>
      </c>
      <c r="M336" s="29"/>
      <c r="N336" s="24" t="s">
        <v>747</v>
      </c>
      <c r="O336" s="4" t="s">
        <v>747</v>
      </c>
    </row>
    <row r="337" spans="1:28" ht="29.1" customHeight="1" x14ac:dyDescent="0.3">
      <c r="A337" s="5" t="s">
        <v>823</v>
      </c>
      <c r="B337" s="5" t="s">
        <v>823</v>
      </c>
      <c r="C337" s="5" t="s">
        <v>823</v>
      </c>
      <c r="D337" s="5" t="s">
        <v>823</v>
      </c>
      <c r="E337" s="5" t="s">
        <v>823</v>
      </c>
      <c r="F337" s="5" t="s">
        <v>823</v>
      </c>
      <c r="G337" s="5" t="s">
        <v>823</v>
      </c>
      <c r="H337" s="5" t="s">
        <v>823</v>
      </c>
      <c r="I337" s="5" t="s">
        <v>823</v>
      </c>
      <c r="J337" s="5" t="s">
        <v>823</v>
      </c>
      <c r="K337" s="5" t="s">
        <v>823</v>
      </c>
      <c r="L337" s="5" t="s">
        <v>823</v>
      </c>
      <c r="M337" s="5" t="s">
        <v>823</v>
      </c>
    </row>
    <row r="338" spans="1:28" ht="29.1" customHeight="1" x14ac:dyDescent="0.3">
      <c r="A338" s="48" t="s">
        <v>868</v>
      </c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50"/>
      <c r="N338" s="7" t="s">
        <v>291</v>
      </c>
    </row>
    <row r="339" spans="1:28" ht="29.1" customHeight="1" x14ac:dyDescent="0.3">
      <c r="A339" s="5" t="s">
        <v>432</v>
      </c>
      <c r="B339" s="29" t="s">
        <v>269</v>
      </c>
      <c r="C339" s="5" t="s">
        <v>656</v>
      </c>
      <c r="D339" s="10">
        <v>0.04</v>
      </c>
      <c r="E339" s="28">
        <f>단가대비표!U83</f>
        <v>0</v>
      </c>
      <c r="F339" s="27">
        <f>TRUNC(D339*E339,2)</f>
        <v>0</v>
      </c>
      <c r="G339" s="28">
        <f>단가대비표!V83</f>
        <v>279613</v>
      </c>
      <c r="H339" s="27">
        <f>TRUNC(D339*G339,2)</f>
        <v>11184.52</v>
      </c>
      <c r="I339" s="28">
        <f>단가대비표!AE83</f>
        <v>0</v>
      </c>
      <c r="J339" s="27">
        <f>TRUNC(D339*I339,2)</f>
        <v>0</v>
      </c>
      <c r="K339" s="27">
        <f>E339+G339+I339</f>
        <v>279613</v>
      </c>
      <c r="L339" s="27">
        <f>F339+H339+J339</f>
        <v>11184.52</v>
      </c>
      <c r="M339" s="29" t="s">
        <v>1044</v>
      </c>
      <c r="N339" s="7" t="s">
        <v>291</v>
      </c>
      <c r="O339" s="14" t="s">
        <v>687</v>
      </c>
      <c r="P339" s="14" t="s">
        <v>823</v>
      </c>
      <c r="Q339" s="14" t="s">
        <v>823</v>
      </c>
      <c r="R339" s="14" t="s">
        <v>228</v>
      </c>
      <c r="S339" s="31">
        <v>10</v>
      </c>
      <c r="T339" s="14" t="s">
        <v>823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</row>
    <row r="340" spans="1:28" ht="29.1" customHeight="1" x14ac:dyDescent="0.3">
      <c r="A340" s="5" t="s">
        <v>1250</v>
      </c>
      <c r="B340" s="29" t="s">
        <v>269</v>
      </c>
      <c r="C340" s="5" t="s">
        <v>656</v>
      </c>
      <c r="D340" s="10">
        <v>0.01</v>
      </c>
      <c r="E340" s="28">
        <f>단가대비표!U81</f>
        <v>0</v>
      </c>
      <c r="F340" s="27">
        <f>TRUNC(D340*E340,2)</f>
        <v>0</v>
      </c>
      <c r="G340" s="28">
        <f>단가대비표!V81</f>
        <v>171037</v>
      </c>
      <c r="H340" s="27">
        <f>TRUNC(D340*G340,2)</f>
        <v>1710.37</v>
      </c>
      <c r="I340" s="28">
        <f>단가대비표!AE81</f>
        <v>0</v>
      </c>
      <c r="J340" s="27">
        <f>TRUNC(D340*I340,2)</f>
        <v>0</v>
      </c>
      <c r="K340" s="27">
        <f>E340+G340+I340</f>
        <v>171037</v>
      </c>
      <c r="L340" s="27">
        <f>F340+H340+J340</f>
        <v>1710.37</v>
      </c>
      <c r="M340" s="29" t="s">
        <v>162</v>
      </c>
      <c r="N340" s="7" t="s">
        <v>291</v>
      </c>
      <c r="O340" s="14" t="s">
        <v>40</v>
      </c>
      <c r="P340" s="14" t="s">
        <v>823</v>
      </c>
      <c r="Q340" s="14" t="s">
        <v>823</v>
      </c>
      <c r="R340" s="14" t="s">
        <v>228</v>
      </c>
      <c r="S340" s="31">
        <v>20</v>
      </c>
      <c r="T340" s="14" t="s">
        <v>823</v>
      </c>
      <c r="U340" s="31">
        <v>0</v>
      </c>
      <c r="V340" s="31">
        <v>0</v>
      </c>
      <c r="W340" s="31">
        <v>0</v>
      </c>
      <c r="X340" s="31">
        <v>0</v>
      </c>
      <c r="Y340" s="31">
        <v>0</v>
      </c>
      <c r="Z340" s="31">
        <v>0</v>
      </c>
      <c r="AA340" s="31">
        <v>0</v>
      </c>
      <c r="AB340" s="31">
        <v>0</v>
      </c>
    </row>
    <row r="341" spans="1:28" ht="29.1" customHeight="1" x14ac:dyDescent="0.3">
      <c r="A341" s="5" t="s">
        <v>621</v>
      </c>
      <c r="B341" s="5" t="s">
        <v>823</v>
      </c>
      <c r="C341" s="5" t="s">
        <v>823</v>
      </c>
      <c r="D341" s="5" t="s">
        <v>823</v>
      </c>
      <c r="E341" s="28">
        <v>0</v>
      </c>
      <c r="F341" s="28">
        <f>TRUNC(SUMIF(R339:R340, " ", F339:F340),0)</f>
        <v>0</v>
      </c>
      <c r="G341" s="28">
        <v>0</v>
      </c>
      <c r="H341" s="28">
        <f>TRUNC(SUMIF(R339:R340, " ", H339:H340),0)</f>
        <v>12894</v>
      </c>
      <c r="I341" s="28">
        <v>0</v>
      </c>
      <c r="J341" s="27">
        <f>TRUNC(SUMIF(R339:R340, " ", J339:J340),0)</f>
        <v>0</v>
      </c>
      <c r="K341" s="20" t="s">
        <v>823</v>
      </c>
      <c r="L341" s="28">
        <f>F341+H341+J341</f>
        <v>12894</v>
      </c>
      <c r="M341" s="29"/>
      <c r="N341" s="24" t="s">
        <v>747</v>
      </c>
      <c r="O341" s="4" t="s">
        <v>747</v>
      </c>
    </row>
    <row r="342" spans="1:28" ht="29.1" customHeight="1" x14ac:dyDescent="0.3">
      <c r="A342" s="5" t="s">
        <v>823</v>
      </c>
      <c r="B342" s="5" t="s">
        <v>823</v>
      </c>
      <c r="C342" s="5" t="s">
        <v>823</v>
      </c>
      <c r="D342" s="5" t="s">
        <v>823</v>
      </c>
      <c r="E342" s="5" t="s">
        <v>823</v>
      </c>
      <c r="F342" s="5" t="s">
        <v>823</v>
      </c>
      <c r="G342" s="5" t="s">
        <v>823</v>
      </c>
      <c r="H342" s="5" t="s">
        <v>823</v>
      </c>
      <c r="I342" s="5" t="s">
        <v>823</v>
      </c>
      <c r="J342" s="5" t="s">
        <v>823</v>
      </c>
      <c r="K342" s="5" t="s">
        <v>823</v>
      </c>
      <c r="L342" s="5" t="s">
        <v>823</v>
      </c>
      <c r="M342" s="5" t="s">
        <v>823</v>
      </c>
    </row>
    <row r="343" spans="1:28" ht="29.1" customHeight="1" x14ac:dyDescent="0.3">
      <c r="A343" s="48" t="s">
        <v>807</v>
      </c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50"/>
      <c r="N343" s="7" t="s">
        <v>254</v>
      </c>
    </row>
    <row r="344" spans="1:28" ht="29.1" customHeight="1" x14ac:dyDescent="0.3">
      <c r="A344" s="5" t="s">
        <v>802</v>
      </c>
      <c r="B344" s="29" t="s">
        <v>978</v>
      </c>
      <c r="C344" s="5" t="s">
        <v>80</v>
      </c>
      <c r="D344" s="10">
        <v>3.5</v>
      </c>
      <c r="E344" s="28">
        <f>단가대비표!U7</f>
        <v>1650</v>
      </c>
      <c r="F344" s="27">
        <f>TRUNC(D344*E344,2)</f>
        <v>5775</v>
      </c>
      <c r="G344" s="28">
        <f>단가대비표!V7</f>
        <v>0</v>
      </c>
      <c r="H344" s="27">
        <f>TRUNC(D344*G344,2)</f>
        <v>0</v>
      </c>
      <c r="I344" s="28">
        <f>단가대비표!AE7</f>
        <v>0</v>
      </c>
      <c r="J344" s="27">
        <f>TRUNC(D344*I344,2)</f>
        <v>0</v>
      </c>
      <c r="K344" s="27">
        <f t="shared" ref="K344:L347" si="63">E344+G344+I344</f>
        <v>1650</v>
      </c>
      <c r="L344" s="27">
        <f t="shared" si="63"/>
        <v>5775</v>
      </c>
      <c r="M344" s="29" t="s">
        <v>133</v>
      </c>
      <c r="N344" s="7" t="s">
        <v>254</v>
      </c>
      <c r="O344" s="14" t="s">
        <v>672</v>
      </c>
      <c r="P344" s="14" t="s">
        <v>823</v>
      </c>
      <c r="Q344" s="14" t="s">
        <v>823</v>
      </c>
      <c r="R344" s="14" t="s">
        <v>228</v>
      </c>
      <c r="S344" s="31">
        <v>10</v>
      </c>
      <c r="T344" s="14" t="s">
        <v>823</v>
      </c>
      <c r="U344" s="31">
        <v>0</v>
      </c>
      <c r="V344" s="31">
        <v>0</v>
      </c>
      <c r="W344" s="31">
        <v>0</v>
      </c>
      <c r="X344" s="31">
        <v>0</v>
      </c>
      <c r="Y344" s="31">
        <v>0</v>
      </c>
      <c r="Z344" s="31">
        <v>0</v>
      </c>
      <c r="AA344" s="31">
        <v>0</v>
      </c>
      <c r="AB344" s="31">
        <v>0</v>
      </c>
    </row>
    <row r="345" spans="1:28" ht="29.1" customHeight="1" x14ac:dyDescent="0.3">
      <c r="A345" s="5" t="s">
        <v>907</v>
      </c>
      <c r="B345" s="29" t="s">
        <v>172</v>
      </c>
      <c r="C345" s="5" t="s">
        <v>1224</v>
      </c>
      <c r="D345" s="10">
        <v>1.4</v>
      </c>
      <c r="E345" s="28">
        <f>단가대비표!U9</f>
        <v>2177</v>
      </c>
      <c r="F345" s="27">
        <f>TRUNC(D345*E345,2)</f>
        <v>3047.8</v>
      </c>
      <c r="G345" s="28">
        <f>단가대비표!V9</f>
        <v>0</v>
      </c>
      <c r="H345" s="27">
        <f>TRUNC(D345*G345,2)</f>
        <v>0</v>
      </c>
      <c r="I345" s="28">
        <f>단가대비표!AE9</f>
        <v>0</v>
      </c>
      <c r="J345" s="27">
        <f>TRUNC(D345*I345,2)</f>
        <v>0</v>
      </c>
      <c r="K345" s="27">
        <f t="shared" si="63"/>
        <v>2177</v>
      </c>
      <c r="L345" s="27">
        <f t="shared" si="63"/>
        <v>3047.8</v>
      </c>
      <c r="M345" s="29" t="s">
        <v>202</v>
      </c>
      <c r="N345" s="7" t="s">
        <v>254</v>
      </c>
      <c r="O345" s="14" t="s">
        <v>569</v>
      </c>
      <c r="P345" s="14" t="s">
        <v>823</v>
      </c>
      <c r="Q345" s="14" t="s">
        <v>823</v>
      </c>
      <c r="R345" s="14" t="s">
        <v>228</v>
      </c>
      <c r="S345" s="31">
        <v>20</v>
      </c>
      <c r="T345" s="14" t="s">
        <v>823</v>
      </c>
      <c r="U345" s="31">
        <v>0</v>
      </c>
      <c r="V345" s="31">
        <v>0</v>
      </c>
      <c r="W345" s="31">
        <v>0</v>
      </c>
      <c r="X345" s="31">
        <v>0</v>
      </c>
      <c r="Y345" s="31">
        <v>0</v>
      </c>
      <c r="Z345" s="31">
        <v>0</v>
      </c>
      <c r="AA345" s="31">
        <v>0</v>
      </c>
      <c r="AB345" s="31">
        <v>0</v>
      </c>
    </row>
    <row r="346" spans="1:28" ht="29.1" customHeight="1" x14ac:dyDescent="0.3">
      <c r="A346" s="5" t="s">
        <v>605</v>
      </c>
      <c r="B346" s="29" t="s">
        <v>638</v>
      </c>
      <c r="C346" s="5" t="s">
        <v>1086</v>
      </c>
      <c r="D346" s="10">
        <v>1</v>
      </c>
      <c r="E346" s="28">
        <f>단가대비표!U55</f>
        <v>761</v>
      </c>
      <c r="F346" s="27">
        <f>TRUNC(D346*E346,2)</f>
        <v>761</v>
      </c>
      <c r="G346" s="28">
        <f>단가대비표!V55</f>
        <v>0</v>
      </c>
      <c r="H346" s="27">
        <f>TRUNC(D346*G346,2)</f>
        <v>0</v>
      </c>
      <c r="I346" s="28">
        <f>단가대비표!AE55</f>
        <v>0</v>
      </c>
      <c r="J346" s="27">
        <f>TRUNC(D346*I346,2)</f>
        <v>0</v>
      </c>
      <c r="K346" s="27">
        <f t="shared" si="63"/>
        <v>761</v>
      </c>
      <c r="L346" s="27">
        <f t="shared" si="63"/>
        <v>761</v>
      </c>
      <c r="M346" s="29" t="s">
        <v>688</v>
      </c>
      <c r="N346" s="7" t="s">
        <v>254</v>
      </c>
      <c r="O346" s="14" t="s">
        <v>29</v>
      </c>
      <c r="P346" s="14" t="s">
        <v>823</v>
      </c>
      <c r="Q346" s="14" t="s">
        <v>823</v>
      </c>
      <c r="R346" s="14" t="s">
        <v>228</v>
      </c>
      <c r="S346" s="31">
        <v>30</v>
      </c>
      <c r="T346" s="14" t="s">
        <v>823</v>
      </c>
      <c r="U346" s="31">
        <v>0</v>
      </c>
      <c r="V346" s="31">
        <v>0</v>
      </c>
      <c r="W346" s="31">
        <v>0</v>
      </c>
      <c r="X346" s="31">
        <v>0</v>
      </c>
      <c r="Y346" s="31">
        <v>0</v>
      </c>
      <c r="Z346" s="31">
        <v>0</v>
      </c>
      <c r="AA346" s="31">
        <v>0</v>
      </c>
      <c r="AB346" s="31">
        <v>0</v>
      </c>
    </row>
    <row r="347" spans="1:28" ht="29.1" customHeight="1" x14ac:dyDescent="0.3">
      <c r="A347" s="5" t="s">
        <v>723</v>
      </c>
      <c r="B347" s="29" t="s">
        <v>169</v>
      </c>
      <c r="C347" s="5" t="s">
        <v>1224</v>
      </c>
      <c r="D347" s="10">
        <v>2</v>
      </c>
      <c r="E347" s="28">
        <f>단가대비표!U13</f>
        <v>1360</v>
      </c>
      <c r="F347" s="27">
        <f>TRUNC(D347*E347,2)</f>
        <v>2720</v>
      </c>
      <c r="G347" s="28">
        <f>단가대비표!V13</f>
        <v>0</v>
      </c>
      <c r="H347" s="27">
        <f>TRUNC(D347*G347,2)</f>
        <v>0</v>
      </c>
      <c r="I347" s="28">
        <f>단가대비표!AE13</f>
        <v>0</v>
      </c>
      <c r="J347" s="27">
        <f>TRUNC(D347*I347,2)</f>
        <v>0</v>
      </c>
      <c r="K347" s="27">
        <f t="shared" si="63"/>
        <v>1360</v>
      </c>
      <c r="L347" s="27">
        <f t="shared" si="63"/>
        <v>2720</v>
      </c>
      <c r="M347" s="29" t="s">
        <v>1279</v>
      </c>
      <c r="N347" s="7" t="s">
        <v>254</v>
      </c>
      <c r="O347" s="14" t="s">
        <v>424</v>
      </c>
      <c r="P347" s="14" t="s">
        <v>823</v>
      </c>
      <c r="Q347" s="14" t="s">
        <v>823</v>
      </c>
      <c r="R347" s="14" t="s">
        <v>228</v>
      </c>
      <c r="S347" s="31">
        <v>40</v>
      </c>
      <c r="T347" s="14" t="s">
        <v>823</v>
      </c>
      <c r="U347" s="31">
        <v>0</v>
      </c>
      <c r="V347" s="31">
        <v>0</v>
      </c>
      <c r="W347" s="31">
        <v>0</v>
      </c>
      <c r="X347" s="31">
        <v>0</v>
      </c>
      <c r="Y347" s="31">
        <v>0</v>
      </c>
      <c r="Z347" s="31">
        <v>0</v>
      </c>
      <c r="AA347" s="31">
        <v>0</v>
      </c>
      <c r="AB347" s="31">
        <v>0</v>
      </c>
    </row>
    <row r="348" spans="1:28" ht="29.1" customHeight="1" x14ac:dyDescent="0.3">
      <c r="A348" s="5" t="s">
        <v>621</v>
      </c>
      <c r="B348" s="5" t="s">
        <v>823</v>
      </c>
      <c r="C348" s="5" t="s">
        <v>823</v>
      </c>
      <c r="D348" s="5" t="s">
        <v>823</v>
      </c>
      <c r="E348" s="28">
        <v>0</v>
      </c>
      <c r="F348" s="28">
        <f>TRUNC(SUMIF(R344:R347, " ", F344:F347),0)</f>
        <v>12303</v>
      </c>
      <c r="G348" s="28">
        <v>0</v>
      </c>
      <c r="H348" s="28">
        <f>TRUNC(SUMIF(R344:R347, " ", H344:H347),0)</f>
        <v>0</v>
      </c>
      <c r="I348" s="28">
        <v>0</v>
      </c>
      <c r="J348" s="27">
        <f>TRUNC(SUMIF(R344:R347, " ", J344:J347),0)</f>
        <v>0</v>
      </c>
      <c r="K348" s="20" t="s">
        <v>823</v>
      </c>
      <c r="L348" s="28">
        <f>F348+H348+J348</f>
        <v>12303</v>
      </c>
      <c r="M348" s="29"/>
      <c r="N348" s="24" t="s">
        <v>747</v>
      </c>
      <c r="O348" s="4" t="s">
        <v>747</v>
      </c>
    </row>
    <row r="349" spans="1:28" ht="29.1" customHeight="1" x14ac:dyDescent="0.3">
      <c r="A349" s="5" t="s">
        <v>823</v>
      </c>
      <c r="B349" s="5" t="s">
        <v>823</v>
      </c>
      <c r="C349" s="5" t="s">
        <v>823</v>
      </c>
      <c r="D349" s="5" t="s">
        <v>823</v>
      </c>
      <c r="E349" s="5" t="s">
        <v>823</v>
      </c>
      <c r="F349" s="5" t="s">
        <v>823</v>
      </c>
      <c r="G349" s="5" t="s">
        <v>823</v>
      </c>
      <c r="H349" s="5" t="s">
        <v>823</v>
      </c>
      <c r="I349" s="5" t="s">
        <v>823</v>
      </c>
      <c r="J349" s="5" t="s">
        <v>823</v>
      </c>
      <c r="K349" s="5" t="s">
        <v>823</v>
      </c>
      <c r="L349" s="5" t="s">
        <v>823</v>
      </c>
      <c r="M349" s="5" t="s">
        <v>823</v>
      </c>
    </row>
    <row r="350" spans="1:28" ht="29.1" customHeight="1" x14ac:dyDescent="0.3">
      <c r="A350" s="48" t="s">
        <v>568</v>
      </c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50"/>
      <c r="N350" s="7" t="s">
        <v>1194</v>
      </c>
    </row>
    <row r="351" spans="1:28" ht="29.1" customHeight="1" x14ac:dyDescent="0.3">
      <c r="A351" s="5" t="s">
        <v>465</v>
      </c>
      <c r="B351" s="29" t="s">
        <v>269</v>
      </c>
      <c r="C351" s="5" t="s">
        <v>656</v>
      </c>
      <c r="D351" s="10">
        <v>0.1</v>
      </c>
      <c r="E351" s="28">
        <f>단가대비표!U91</f>
        <v>0</v>
      </c>
      <c r="F351" s="27">
        <f>TRUNC(D351*E351,2)</f>
        <v>0</v>
      </c>
      <c r="G351" s="28">
        <f>단가대비표!V91</f>
        <v>255231</v>
      </c>
      <c r="H351" s="27">
        <f>TRUNC(D351*G351,2)</f>
        <v>25523.1</v>
      </c>
      <c r="I351" s="28">
        <f>단가대비표!AE91</f>
        <v>0</v>
      </c>
      <c r="J351" s="27">
        <f>TRUNC(D351*I351,2)</f>
        <v>0</v>
      </c>
      <c r="K351" s="27">
        <f t="shared" ref="K351:L353" si="64">E351+G351+I351</f>
        <v>255231</v>
      </c>
      <c r="L351" s="27">
        <f t="shared" si="64"/>
        <v>25523.1</v>
      </c>
      <c r="M351" s="29" t="s">
        <v>988</v>
      </c>
      <c r="N351" s="7" t="s">
        <v>1194</v>
      </c>
      <c r="O351" s="14" t="s">
        <v>873</v>
      </c>
      <c r="P351" s="14" t="s">
        <v>823</v>
      </c>
      <c r="Q351" s="14" t="s">
        <v>823</v>
      </c>
      <c r="R351" s="14" t="s">
        <v>228</v>
      </c>
      <c r="S351" s="31">
        <v>10</v>
      </c>
      <c r="T351" s="14" t="s">
        <v>823</v>
      </c>
      <c r="U351" s="31">
        <v>0</v>
      </c>
      <c r="V351" s="31">
        <v>1</v>
      </c>
      <c r="W351" s="31">
        <v>0</v>
      </c>
      <c r="X351" s="31">
        <v>0</v>
      </c>
      <c r="Y351" s="31">
        <v>0</v>
      </c>
      <c r="Z351" s="31">
        <v>0</v>
      </c>
      <c r="AA351" s="31">
        <v>0</v>
      </c>
      <c r="AB351" s="31">
        <v>0</v>
      </c>
    </row>
    <row r="352" spans="1:28" ht="29.1" customHeight="1" x14ac:dyDescent="0.3">
      <c r="A352" s="5" t="s">
        <v>1250</v>
      </c>
      <c r="B352" s="29" t="s">
        <v>269</v>
      </c>
      <c r="C352" s="5" t="s">
        <v>656</v>
      </c>
      <c r="D352" s="10">
        <v>0.05</v>
      </c>
      <c r="E352" s="28">
        <f>단가대비표!U81</f>
        <v>0</v>
      </c>
      <c r="F352" s="27">
        <f>TRUNC(D352*E352,2)</f>
        <v>0</v>
      </c>
      <c r="G352" s="28">
        <f>단가대비표!V81</f>
        <v>171037</v>
      </c>
      <c r="H352" s="27">
        <f>TRUNC(D352*G352,2)</f>
        <v>8551.85</v>
      </c>
      <c r="I352" s="28">
        <f>단가대비표!AE81</f>
        <v>0</v>
      </c>
      <c r="J352" s="27">
        <f>TRUNC(D352*I352,2)</f>
        <v>0</v>
      </c>
      <c r="K352" s="27">
        <f t="shared" si="64"/>
        <v>171037</v>
      </c>
      <c r="L352" s="27">
        <f t="shared" si="64"/>
        <v>8551.85</v>
      </c>
      <c r="M352" s="29" t="s">
        <v>162</v>
      </c>
      <c r="N352" s="7" t="s">
        <v>1194</v>
      </c>
      <c r="O352" s="14" t="s">
        <v>40</v>
      </c>
      <c r="P352" s="14" t="s">
        <v>823</v>
      </c>
      <c r="Q352" s="14" t="s">
        <v>823</v>
      </c>
      <c r="R352" s="14" t="s">
        <v>228</v>
      </c>
      <c r="S352" s="31">
        <v>20</v>
      </c>
      <c r="T352" s="14" t="s">
        <v>823</v>
      </c>
      <c r="U352" s="31">
        <v>0</v>
      </c>
      <c r="V352" s="31">
        <v>1</v>
      </c>
      <c r="W352" s="31">
        <v>0</v>
      </c>
      <c r="X352" s="31">
        <v>0</v>
      </c>
      <c r="Y352" s="31">
        <v>0</v>
      </c>
      <c r="Z352" s="31">
        <v>0</v>
      </c>
      <c r="AA352" s="31">
        <v>0</v>
      </c>
      <c r="AB352" s="31">
        <v>0</v>
      </c>
    </row>
    <row r="353" spans="1:28" ht="29.1" customHeight="1" x14ac:dyDescent="0.3">
      <c r="A353" s="5" t="s">
        <v>1195</v>
      </c>
      <c r="B353" s="29" t="s">
        <v>104</v>
      </c>
      <c r="C353" s="5" t="s">
        <v>136</v>
      </c>
      <c r="D353" s="10">
        <v>1</v>
      </c>
      <c r="E353" s="27">
        <f>TRUNC(SUMIF(V351:V353, RIGHTB(O353, 1), H351:H353)*U353, 2)</f>
        <v>681.49</v>
      </c>
      <c r="F353" s="27">
        <f>TRUNC(D353*E353,2)</f>
        <v>681.49</v>
      </c>
      <c r="G353" s="27">
        <v>0</v>
      </c>
      <c r="H353" s="27">
        <f>TRUNC(D353*G353,2)</f>
        <v>0</v>
      </c>
      <c r="I353" s="27">
        <v>0</v>
      </c>
      <c r="J353" s="27">
        <f>TRUNC(D353*I353,2)</f>
        <v>0</v>
      </c>
      <c r="K353" s="27">
        <f t="shared" si="64"/>
        <v>681.49</v>
      </c>
      <c r="L353" s="27">
        <f t="shared" si="64"/>
        <v>681.49</v>
      </c>
      <c r="M353" s="29"/>
      <c r="N353" s="7" t="s">
        <v>1194</v>
      </c>
      <c r="O353" s="14" t="s">
        <v>572</v>
      </c>
      <c r="P353" s="14" t="s">
        <v>823</v>
      </c>
      <c r="Q353" s="14" t="s">
        <v>823</v>
      </c>
      <c r="R353" s="14" t="s">
        <v>228</v>
      </c>
      <c r="S353" s="31">
        <v>30</v>
      </c>
      <c r="T353" s="14" t="s">
        <v>604</v>
      </c>
      <c r="U353" s="31">
        <v>0.02</v>
      </c>
      <c r="V353" s="31">
        <v>0</v>
      </c>
      <c r="W353" s="31">
        <v>0</v>
      </c>
      <c r="X353" s="31">
        <v>0</v>
      </c>
      <c r="Y353" s="31">
        <v>0</v>
      </c>
      <c r="Z353" s="31">
        <v>0</v>
      </c>
      <c r="AA353" s="31">
        <v>0</v>
      </c>
      <c r="AB353" s="31">
        <v>0</v>
      </c>
    </row>
    <row r="354" spans="1:28" ht="29.1" customHeight="1" x14ac:dyDescent="0.3">
      <c r="A354" s="5" t="s">
        <v>621</v>
      </c>
      <c r="B354" s="5" t="s">
        <v>823</v>
      </c>
      <c r="C354" s="5" t="s">
        <v>823</v>
      </c>
      <c r="D354" s="5" t="s">
        <v>823</v>
      </c>
      <c r="E354" s="28">
        <v>0</v>
      </c>
      <c r="F354" s="28">
        <f>TRUNC(SUMIF(R351:R353, " ", F351:F353),0)</f>
        <v>681</v>
      </c>
      <c r="G354" s="28">
        <v>0</v>
      </c>
      <c r="H354" s="28">
        <f>TRUNC(SUMIF(R351:R353, " ", H351:H353),0)</f>
        <v>34074</v>
      </c>
      <c r="I354" s="28">
        <v>0</v>
      </c>
      <c r="J354" s="27">
        <f>TRUNC(SUMIF(R351:R353, " ", J351:J353),0)</f>
        <v>0</v>
      </c>
      <c r="K354" s="20" t="s">
        <v>823</v>
      </c>
      <c r="L354" s="28">
        <f>F354+H354+J354</f>
        <v>34755</v>
      </c>
      <c r="M354" s="29"/>
      <c r="N354" s="24" t="s">
        <v>747</v>
      </c>
      <c r="O354" s="4" t="s">
        <v>747</v>
      </c>
    </row>
    <row r="355" spans="1:28" ht="29.1" customHeight="1" x14ac:dyDescent="0.3">
      <c r="A355" s="5" t="s">
        <v>823</v>
      </c>
      <c r="B355" s="5" t="s">
        <v>823</v>
      </c>
      <c r="C355" s="5" t="s">
        <v>823</v>
      </c>
      <c r="D355" s="5" t="s">
        <v>823</v>
      </c>
      <c r="E355" s="5" t="s">
        <v>823</v>
      </c>
      <c r="F355" s="5" t="s">
        <v>823</v>
      </c>
      <c r="G355" s="5" t="s">
        <v>823</v>
      </c>
      <c r="H355" s="5" t="s">
        <v>823</v>
      </c>
      <c r="I355" s="5" t="s">
        <v>823</v>
      </c>
      <c r="J355" s="5" t="s">
        <v>823</v>
      </c>
      <c r="K355" s="5" t="s">
        <v>823</v>
      </c>
      <c r="L355" s="5" t="s">
        <v>823</v>
      </c>
      <c r="M355" s="5" t="s">
        <v>823</v>
      </c>
    </row>
    <row r="356" spans="1:28" ht="29.1" customHeight="1" x14ac:dyDescent="0.3">
      <c r="A356" s="48" t="s">
        <v>1317</v>
      </c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50"/>
      <c r="N356" s="7" t="s">
        <v>956</v>
      </c>
    </row>
    <row r="357" spans="1:28" ht="29.1" customHeight="1" x14ac:dyDescent="0.3">
      <c r="A357" s="5" t="s">
        <v>465</v>
      </c>
      <c r="B357" s="29" t="s">
        <v>269</v>
      </c>
      <c r="C357" s="5" t="s">
        <v>656</v>
      </c>
      <c r="D357" s="10">
        <v>3.1E-2</v>
      </c>
      <c r="E357" s="28">
        <f>단가대비표!U91</f>
        <v>0</v>
      </c>
      <c r="F357" s="27">
        <f>TRUNC(D357*E357,2)</f>
        <v>0</v>
      </c>
      <c r="G357" s="28">
        <f>단가대비표!V91</f>
        <v>255231</v>
      </c>
      <c r="H357" s="27">
        <f>TRUNC(D357*G357,2)</f>
        <v>7912.16</v>
      </c>
      <c r="I357" s="28">
        <f>단가대비표!AE91</f>
        <v>0</v>
      </c>
      <c r="J357" s="27">
        <f>TRUNC(D357*I357,2)</f>
        <v>0</v>
      </c>
      <c r="K357" s="27">
        <f t="shared" ref="K357:L359" si="65">E357+G357+I357</f>
        <v>255231</v>
      </c>
      <c r="L357" s="27">
        <f t="shared" si="65"/>
        <v>7912.16</v>
      </c>
      <c r="M357" s="29" t="s">
        <v>988</v>
      </c>
      <c r="N357" s="7" t="s">
        <v>956</v>
      </c>
      <c r="O357" s="14" t="s">
        <v>873</v>
      </c>
      <c r="P357" s="14" t="s">
        <v>823</v>
      </c>
      <c r="Q357" s="14" t="s">
        <v>823</v>
      </c>
      <c r="R357" s="14" t="s">
        <v>228</v>
      </c>
      <c r="S357" s="31">
        <v>10</v>
      </c>
      <c r="T357" s="14" t="s">
        <v>823</v>
      </c>
      <c r="U357" s="31">
        <v>0</v>
      </c>
      <c r="V357" s="31">
        <v>1</v>
      </c>
      <c r="W357" s="31">
        <v>0</v>
      </c>
      <c r="X357" s="31">
        <v>0</v>
      </c>
      <c r="Y357" s="31">
        <v>0</v>
      </c>
      <c r="Z357" s="31">
        <v>0</v>
      </c>
      <c r="AA357" s="31">
        <v>0</v>
      </c>
      <c r="AB357" s="31">
        <v>0</v>
      </c>
    </row>
    <row r="358" spans="1:28" ht="29.1" customHeight="1" x14ac:dyDescent="0.3">
      <c r="A358" s="5" t="s">
        <v>1250</v>
      </c>
      <c r="B358" s="29" t="s">
        <v>269</v>
      </c>
      <c r="C358" s="5" t="s">
        <v>656</v>
      </c>
      <c r="D358" s="10">
        <v>1.4999999999999999E-2</v>
      </c>
      <c r="E358" s="28">
        <f>단가대비표!U81</f>
        <v>0</v>
      </c>
      <c r="F358" s="27">
        <f>TRUNC(D358*E358,2)</f>
        <v>0</v>
      </c>
      <c r="G358" s="28">
        <f>단가대비표!V81</f>
        <v>171037</v>
      </c>
      <c r="H358" s="27">
        <f>TRUNC(D358*G358,2)</f>
        <v>2565.5500000000002</v>
      </c>
      <c r="I358" s="28">
        <f>단가대비표!AE81</f>
        <v>0</v>
      </c>
      <c r="J358" s="27">
        <f>TRUNC(D358*I358,2)</f>
        <v>0</v>
      </c>
      <c r="K358" s="27">
        <f t="shared" si="65"/>
        <v>171037</v>
      </c>
      <c r="L358" s="27">
        <f t="shared" si="65"/>
        <v>2565.5500000000002</v>
      </c>
      <c r="M358" s="29" t="s">
        <v>162</v>
      </c>
      <c r="N358" s="7" t="s">
        <v>956</v>
      </c>
      <c r="O358" s="14" t="s">
        <v>40</v>
      </c>
      <c r="P358" s="14" t="s">
        <v>823</v>
      </c>
      <c r="Q358" s="14" t="s">
        <v>823</v>
      </c>
      <c r="R358" s="14" t="s">
        <v>228</v>
      </c>
      <c r="S358" s="31">
        <v>20</v>
      </c>
      <c r="T358" s="14" t="s">
        <v>823</v>
      </c>
      <c r="U358" s="31">
        <v>0</v>
      </c>
      <c r="V358" s="31">
        <v>1</v>
      </c>
      <c r="W358" s="31">
        <v>0</v>
      </c>
      <c r="X358" s="31">
        <v>0</v>
      </c>
      <c r="Y358" s="31">
        <v>0</v>
      </c>
      <c r="Z358" s="31">
        <v>0</v>
      </c>
      <c r="AA358" s="31">
        <v>0</v>
      </c>
      <c r="AB358" s="31">
        <v>0</v>
      </c>
    </row>
    <row r="359" spans="1:28" ht="29.1" customHeight="1" x14ac:dyDescent="0.3">
      <c r="A359" s="5" t="s">
        <v>1195</v>
      </c>
      <c r="B359" s="29" t="s">
        <v>176</v>
      </c>
      <c r="C359" s="5" t="s">
        <v>136</v>
      </c>
      <c r="D359" s="10">
        <v>1</v>
      </c>
      <c r="E359" s="27">
        <f>TRUNC(SUMIF(V357:V359, RIGHTB(O359, 1), H357:H359)*U359, 2)</f>
        <v>628.66</v>
      </c>
      <c r="F359" s="27">
        <f>TRUNC(D359*E359,2)</f>
        <v>628.66</v>
      </c>
      <c r="G359" s="27">
        <v>0</v>
      </c>
      <c r="H359" s="27">
        <f>TRUNC(D359*G359,2)</f>
        <v>0</v>
      </c>
      <c r="I359" s="27">
        <v>0</v>
      </c>
      <c r="J359" s="27">
        <f>TRUNC(D359*I359,2)</f>
        <v>0</v>
      </c>
      <c r="K359" s="27">
        <f t="shared" si="65"/>
        <v>628.66</v>
      </c>
      <c r="L359" s="27">
        <f t="shared" si="65"/>
        <v>628.66</v>
      </c>
      <c r="M359" s="29"/>
      <c r="N359" s="7" t="s">
        <v>956</v>
      </c>
      <c r="O359" s="14" t="s">
        <v>572</v>
      </c>
      <c r="P359" s="14" t="s">
        <v>823</v>
      </c>
      <c r="Q359" s="14" t="s">
        <v>823</v>
      </c>
      <c r="R359" s="14" t="s">
        <v>228</v>
      </c>
      <c r="S359" s="31">
        <v>30</v>
      </c>
      <c r="T359" s="14" t="s">
        <v>766</v>
      </c>
      <c r="U359" s="31">
        <v>0.06</v>
      </c>
      <c r="V359" s="31">
        <v>0</v>
      </c>
      <c r="W359" s="31">
        <v>0</v>
      </c>
      <c r="X359" s="31">
        <v>0</v>
      </c>
      <c r="Y359" s="31">
        <v>0</v>
      </c>
      <c r="Z359" s="31">
        <v>0</v>
      </c>
      <c r="AA359" s="31">
        <v>0</v>
      </c>
      <c r="AB359" s="31">
        <v>0</v>
      </c>
    </row>
    <row r="360" spans="1:28" ht="29.1" customHeight="1" x14ac:dyDescent="0.3">
      <c r="A360" s="5" t="s">
        <v>621</v>
      </c>
      <c r="B360" s="5" t="s">
        <v>823</v>
      </c>
      <c r="C360" s="5" t="s">
        <v>823</v>
      </c>
      <c r="D360" s="5" t="s">
        <v>823</v>
      </c>
      <c r="E360" s="28">
        <v>0</v>
      </c>
      <c r="F360" s="28">
        <f>TRUNC(SUMIF(R357:R359, " ", F357:F359),0)</f>
        <v>628</v>
      </c>
      <c r="G360" s="28">
        <v>0</v>
      </c>
      <c r="H360" s="28">
        <f>TRUNC(SUMIF(R357:R359, " ", H357:H359),0)</f>
        <v>10477</v>
      </c>
      <c r="I360" s="28">
        <v>0</v>
      </c>
      <c r="J360" s="27">
        <f>TRUNC(SUMIF(R357:R359, " ", J357:J359),0)</f>
        <v>0</v>
      </c>
      <c r="K360" s="20" t="s">
        <v>823</v>
      </c>
      <c r="L360" s="28">
        <f>F360+H360+J360</f>
        <v>11105</v>
      </c>
      <c r="M360" s="29"/>
      <c r="N360" s="24" t="s">
        <v>747</v>
      </c>
      <c r="O360" s="4" t="s">
        <v>747</v>
      </c>
    </row>
    <row r="361" spans="1:28" ht="29.1" customHeight="1" x14ac:dyDescent="0.3">
      <c r="A361" s="5" t="s">
        <v>823</v>
      </c>
      <c r="B361" s="5" t="s">
        <v>823</v>
      </c>
      <c r="C361" s="5" t="s">
        <v>823</v>
      </c>
      <c r="D361" s="5" t="s">
        <v>823</v>
      </c>
      <c r="E361" s="5" t="s">
        <v>823</v>
      </c>
      <c r="F361" s="5" t="s">
        <v>823</v>
      </c>
      <c r="G361" s="5" t="s">
        <v>823</v>
      </c>
      <c r="H361" s="5" t="s">
        <v>823</v>
      </c>
      <c r="I361" s="5" t="s">
        <v>823</v>
      </c>
      <c r="J361" s="5" t="s">
        <v>823</v>
      </c>
      <c r="K361" s="5" t="s">
        <v>823</v>
      </c>
      <c r="L361" s="5" t="s">
        <v>823</v>
      </c>
      <c r="M361" s="5" t="s">
        <v>823</v>
      </c>
    </row>
    <row r="362" spans="1:28" ht="29.1" customHeight="1" x14ac:dyDescent="0.3">
      <c r="A362" s="48" t="s">
        <v>479</v>
      </c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50"/>
      <c r="N362" s="7" t="s">
        <v>188</v>
      </c>
    </row>
    <row r="363" spans="1:28" ht="29.1" customHeight="1" x14ac:dyDescent="0.3">
      <c r="A363" s="5" t="s">
        <v>761</v>
      </c>
      <c r="B363" s="29" t="s">
        <v>269</v>
      </c>
      <c r="C363" s="5" t="s">
        <v>656</v>
      </c>
      <c r="D363" s="10">
        <v>0.12</v>
      </c>
      <c r="E363" s="28">
        <f>단가대비표!U89</f>
        <v>0</v>
      </c>
      <c r="F363" s="27">
        <f>TRUNC(D363*E363,2)</f>
        <v>0</v>
      </c>
      <c r="G363" s="28">
        <f>단가대비표!V89</f>
        <v>278998</v>
      </c>
      <c r="H363" s="27">
        <f>TRUNC(D363*G363,2)</f>
        <v>33479.760000000002</v>
      </c>
      <c r="I363" s="28">
        <f>단가대비표!AE89</f>
        <v>0</v>
      </c>
      <c r="J363" s="27">
        <f>TRUNC(D363*I363,2)</f>
        <v>0</v>
      </c>
      <c r="K363" s="27">
        <f>E363+G363+I363</f>
        <v>278998</v>
      </c>
      <c r="L363" s="27">
        <f>F363+H363+J363</f>
        <v>33479.760000000002</v>
      </c>
      <c r="M363" s="29" t="s">
        <v>912</v>
      </c>
      <c r="N363" s="7" t="s">
        <v>188</v>
      </c>
      <c r="O363" s="14" t="s">
        <v>244</v>
      </c>
      <c r="P363" s="14" t="s">
        <v>823</v>
      </c>
      <c r="Q363" s="14" t="s">
        <v>823</v>
      </c>
      <c r="R363" s="14" t="s">
        <v>228</v>
      </c>
      <c r="S363" s="31">
        <v>10</v>
      </c>
      <c r="T363" s="14" t="s">
        <v>968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0</v>
      </c>
      <c r="AA363" s="31">
        <v>0</v>
      </c>
      <c r="AB363" s="31">
        <v>0</v>
      </c>
    </row>
    <row r="364" spans="1:28" ht="29.1" customHeight="1" x14ac:dyDescent="0.3">
      <c r="A364" s="5" t="s">
        <v>1250</v>
      </c>
      <c r="B364" s="29" t="s">
        <v>269</v>
      </c>
      <c r="C364" s="5" t="s">
        <v>656</v>
      </c>
      <c r="D364" s="10">
        <v>0.04</v>
      </c>
      <c r="E364" s="28">
        <f>단가대비표!U81</f>
        <v>0</v>
      </c>
      <c r="F364" s="27">
        <f>TRUNC(D364*E364,2)</f>
        <v>0</v>
      </c>
      <c r="G364" s="28">
        <f>단가대비표!V81</f>
        <v>171037</v>
      </c>
      <c r="H364" s="27">
        <f>TRUNC(D364*G364,2)</f>
        <v>6841.48</v>
      </c>
      <c r="I364" s="28">
        <f>단가대비표!AE81</f>
        <v>0</v>
      </c>
      <c r="J364" s="27">
        <f>TRUNC(D364*I364,2)</f>
        <v>0</v>
      </c>
      <c r="K364" s="27">
        <f>E364+G364+I364</f>
        <v>171037</v>
      </c>
      <c r="L364" s="27">
        <f>F364+H364+J364</f>
        <v>6841.48</v>
      </c>
      <c r="M364" s="29" t="s">
        <v>162</v>
      </c>
      <c r="N364" s="7" t="s">
        <v>188</v>
      </c>
      <c r="O364" s="14" t="s">
        <v>40</v>
      </c>
      <c r="P364" s="14" t="s">
        <v>823</v>
      </c>
      <c r="Q364" s="14" t="s">
        <v>823</v>
      </c>
      <c r="R364" s="14" t="s">
        <v>228</v>
      </c>
      <c r="S364" s="31">
        <v>20</v>
      </c>
      <c r="T364" s="14" t="s">
        <v>745</v>
      </c>
      <c r="U364" s="31">
        <v>0</v>
      </c>
      <c r="V364" s="31">
        <v>0</v>
      </c>
      <c r="W364" s="31">
        <v>0</v>
      </c>
      <c r="X364" s="31">
        <v>0</v>
      </c>
      <c r="Y364" s="31">
        <v>0</v>
      </c>
      <c r="Z364" s="31">
        <v>0</v>
      </c>
      <c r="AA364" s="31">
        <v>0</v>
      </c>
      <c r="AB364" s="31">
        <v>0</v>
      </c>
    </row>
    <row r="365" spans="1:28" ht="29.1" customHeight="1" x14ac:dyDescent="0.3">
      <c r="A365" s="5" t="s">
        <v>621</v>
      </c>
      <c r="B365" s="5" t="s">
        <v>823</v>
      </c>
      <c r="C365" s="5" t="s">
        <v>823</v>
      </c>
      <c r="D365" s="5" t="s">
        <v>823</v>
      </c>
      <c r="E365" s="28">
        <v>0</v>
      </c>
      <c r="F365" s="28">
        <f>TRUNC(SUMIF(R363:R364, " ", F363:F364),0)</f>
        <v>0</v>
      </c>
      <c r="G365" s="28">
        <v>0</v>
      </c>
      <c r="H365" s="28">
        <f>TRUNC(SUMIF(R363:R364, " ", H363:H364),0)</f>
        <v>40321</v>
      </c>
      <c r="I365" s="28">
        <v>0</v>
      </c>
      <c r="J365" s="27">
        <f>TRUNC(SUMIF(R363:R364, " ", J363:J364),0)</f>
        <v>0</v>
      </c>
      <c r="K365" s="20" t="s">
        <v>823</v>
      </c>
      <c r="L365" s="28">
        <f>F365+H365+J365</f>
        <v>40321</v>
      </c>
      <c r="M365" s="29"/>
      <c r="N365" s="24" t="s">
        <v>747</v>
      </c>
      <c r="O365" s="4" t="s">
        <v>747</v>
      </c>
    </row>
    <row r="366" spans="1:28" ht="29.1" customHeight="1" x14ac:dyDescent="0.3">
      <c r="A366" s="5" t="s">
        <v>823</v>
      </c>
      <c r="B366" s="5" t="s">
        <v>823</v>
      </c>
      <c r="C366" s="5" t="s">
        <v>823</v>
      </c>
      <c r="D366" s="5" t="s">
        <v>823</v>
      </c>
      <c r="E366" s="5" t="s">
        <v>823</v>
      </c>
      <c r="F366" s="5" t="s">
        <v>823</v>
      </c>
      <c r="G366" s="5" t="s">
        <v>823</v>
      </c>
      <c r="H366" s="5" t="s">
        <v>823</v>
      </c>
      <c r="I366" s="5" t="s">
        <v>823</v>
      </c>
      <c r="J366" s="5" t="s">
        <v>823</v>
      </c>
      <c r="K366" s="5" t="s">
        <v>823</v>
      </c>
      <c r="L366" s="5" t="s">
        <v>823</v>
      </c>
      <c r="M366" s="5" t="s">
        <v>823</v>
      </c>
    </row>
    <row r="367" spans="1:28" ht="29.1" customHeight="1" x14ac:dyDescent="0.3">
      <c r="A367" s="48" t="s">
        <v>32</v>
      </c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50"/>
      <c r="N367" s="7" t="s">
        <v>248</v>
      </c>
    </row>
    <row r="368" spans="1:28" ht="29.1" customHeight="1" x14ac:dyDescent="0.3">
      <c r="A368" s="5" t="s">
        <v>43</v>
      </c>
      <c r="B368" s="29" t="s">
        <v>770</v>
      </c>
      <c r="C368" s="5" t="s">
        <v>1001</v>
      </c>
      <c r="D368" s="10">
        <v>0.20849999999999999</v>
      </c>
      <c r="E368" s="28">
        <f>단가대비표!U94</f>
        <v>0</v>
      </c>
      <c r="F368" s="27">
        <f>TRUNC(D368*E368,2)</f>
        <v>0</v>
      </c>
      <c r="G368" s="28">
        <f>단가대비표!V94</f>
        <v>0</v>
      </c>
      <c r="H368" s="27">
        <f>TRUNC(D368*G368,2)</f>
        <v>0</v>
      </c>
      <c r="I368" s="28">
        <f>단가대비표!AE94</f>
        <v>64267</v>
      </c>
      <c r="J368" s="27">
        <f>TRUNC(D368*I368,2)</f>
        <v>13399.66</v>
      </c>
      <c r="K368" s="27">
        <f t="shared" ref="K368:L371" si="66">E368+G368+I368</f>
        <v>64267</v>
      </c>
      <c r="L368" s="27">
        <f t="shared" si="66"/>
        <v>13399.66</v>
      </c>
      <c r="M368" s="29" t="s">
        <v>518</v>
      </c>
      <c r="N368" s="7" t="s">
        <v>248</v>
      </c>
      <c r="O368" s="14" t="s">
        <v>1180</v>
      </c>
      <c r="P368" s="14" t="s">
        <v>823</v>
      </c>
      <c r="Q368" s="14" t="s">
        <v>823</v>
      </c>
      <c r="R368" s="14" t="s">
        <v>228</v>
      </c>
      <c r="S368" s="31">
        <v>10</v>
      </c>
      <c r="T368" s="14" t="s">
        <v>823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</row>
    <row r="369" spans="1:28" ht="29.1" customHeight="1" x14ac:dyDescent="0.3">
      <c r="A369" s="5" t="s">
        <v>1278</v>
      </c>
      <c r="B369" s="29" t="s">
        <v>269</v>
      </c>
      <c r="C369" s="5" t="s">
        <v>656</v>
      </c>
      <c r="D369" s="10">
        <v>1</v>
      </c>
      <c r="E369" s="27">
        <f>TRUNC(단가대비표!U92*1/8*16/12*25/20,2)</f>
        <v>0</v>
      </c>
      <c r="F369" s="27">
        <f>TRUNC(D369*E369,2)</f>
        <v>0</v>
      </c>
      <c r="G369" s="27">
        <f>TRUNC(단가대비표!V92*1/8*16/12*25/20,2)</f>
        <v>58296.66</v>
      </c>
      <c r="H369" s="27">
        <f>TRUNC(D369*G369,2)</f>
        <v>58296.66</v>
      </c>
      <c r="I369" s="27">
        <f>TRUNC(단가대비표!AE92*1/8*16/12*25/20,2)</f>
        <v>0</v>
      </c>
      <c r="J369" s="27">
        <f>TRUNC(D369*I369,2)</f>
        <v>0</v>
      </c>
      <c r="K369" s="27">
        <f t="shared" si="66"/>
        <v>58296.66</v>
      </c>
      <c r="L369" s="27">
        <f t="shared" si="66"/>
        <v>58296.66</v>
      </c>
      <c r="M369" s="29" t="s">
        <v>1240</v>
      </c>
      <c r="N369" s="7" t="s">
        <v>248</v>
      </c>
      <c r="O369" s="14" t="s">
        <v>309</v>
      </c>
      <c r="P369" s="14" t="s">
        <v>823</v>
      </c>
      <c r="Q369" s="14" t="s">
        <v>823</v>
      </c>
      <c r="R369" s="14" t="s">
        <v>228</v>
      </c>
      <c r="S369" s="31">
        <v>20</v>
      </c>
      <c r="T369" s="14" t="s">
        <v>823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0</v>
      </c>
      <c r="AA369" s="31">
        <v>0</v>
      </c>
      <c r="AB369" s="31">
        <v>0</v>
      </c>
    </row>
    <row r="370" spans="1:28" ht="29.1" customHeight="1" x14ac:dyDescent="0.3">
      <c r="A370" s="5" t="s">
        <v>529</v>
      </c>
      <c r="B370" s="29" t="s">
        <v>498</v>
      </c>
      <c r="C370" s="5" t="s">
        <v>290</v>
      </c>
      <c r="D370" s="10">
        <v>5</v>
      </c>
      <c r="E370" s="27">
        <f>ROUND(단가대비표!U8,2)</f>
        <v>1391.81</v>
      </c>
      <c r="F370" s="27">
        <f>TRUNC(D370*E370,2)</f>
        <v>6959.05</v>
      </c>
      <c r="G370" s="27">
        <f>ROUND(단가대비표!V8,2)</f>
        <v>0</v>
      </c>
      <c r="H370" s="27">
        <f>TRUNC(D370*G370,2)</f>
        <v>0</v>
      </c>
      <c r="I370" s="27">
        <f>ROUND(단가대비표!AE8,2)</f>
        <v>0</v>
      </c>
      <c r="J370" s="27">
        <f>TRUNC(D370*I370,2)</f>
        <v>0</v>
      </c>
      <c r="K370" s="27">
        <f t="shared" si="66"/>
        <v>1391.81</v>
      </c>
      <c r="L370" s="27">
        <f t="shared" si="66"/>
        <v>6959.05</v>
      </c>
      <c r="M370" s="29" t="s">
        <v>260</v>
      </c>
      <c r="N370" s="7" t="s">
        <v>248</v>
      </c>
      <c r="O370" s="14" t="s">
        <v>867</v>
      </c>
      <c r="P370" s="14" t="s">
        <v>823</v>
      </c>
      <c r="Q370" s="14" t="s">
        <v>823</v>
      </c>
      <c r="R370" s="14" t="s">
        <v>228</v>
      </c>
      <c r="S370" s="31">
        <v>30</v>
      </c>
      <c r="T370" s="14" t="s">
        <v>823</v>
      </c>
      <c r="U370" s="31">
        <v>0</v>
      </c>
      <c r="V370" s="31">
        <v>1</v>
      </c>
      <c r="W370" s="31">
        <v>0</v>
      </c>
      <c r="X370" s="31">
        <v>0</v>
      </c>
      <c r="Y370" s="31">
        <v>0</v>
      </c>
      <c r="Z370" s="31">
        <v>0</v>
      </c>
      <c r="AA370" s="31">
        <v>0</v>
      </c>
      <c r="AB370" s="31">
        <v>0</v>
      </c>
    </row>
    <row r="371" spans="1:28" ht="29.1" customHeight="1" x14ac:dyDescent="0.3">
      <c r="A371" s="5" t="s">
        <v>102</v>
      </c>
      <c r="B371" s="29" t="s">
        <v>147</v>
      </c>
      <c r="C371" s="5" t="s">
        <v>136</v>
      </c>
      <c r="D371" s="10">
        <v>1</v>
      </c>
      <c r="E371" s="27">
        <f>TRUNC(SUMIF(V368:V371, RIGHTB(O371, 1), F368:F371)*U371, 2)</f>
        <v>1461.4</v>
      </c>
      <c r="F371" s="27">
        <f>TRUNC(D371*E371,2)</f>
        <v>1461.4</v>
      </c>
      <c r="G371" s="27">
        <v>0</v>
      </c>
      <c r="H371" s="27">
        <f>TRUNC(D371*G371,2)</f>
        <v>0</v>
      </c>
      <c r="I371" s="27">
        <v>0</v>
      </c>
      <c r="J371" s="27">
        <f>TRUNC(D371*I371,2)</f>
        <v>0</v>
      </c>
      <c r="K371" s="27">
        <f t="shared" si="66"/>
        <v>1461.4</v>
      </c>
      <c r="L371" s="27">
        <f t="shared" si="66"/>
        <v>1461.4</v>
      </c>
      <c r="M371" s="29"/>
      <c r="N371" s="7" t="s">
        <v>248</v>
      </c>
      <c r="O371" s="14" t="s">
        <v>572</v>
      </c>
      <c r="P371" s="14" t="s">
        <v>823</v>
      </c>
      <c r="Q371" s="14" t="s">
        <v>823</v>
      </c>
      <c r="R371" s="14" t="s">
        <v>228</v>
      </c>
      <c r="S371" s="31">
        <v>40</v>
      </c>
      <c r="T371" s="14" t="s">
        <v>393</v>
      </c>
      <c r="U371" s="31">
        <v>0.21</v>
      </c>
      <c r="V371" s="31">
        <v>0</v>
      </c>
      <c r="W371" s="31">
        <v>0</v>
      </c>
      <c r="X371" s="31">
        <v>0</v>
      </c>
      <c r="Y371" s="31">
        <v>0</v>
      </c>
      <c r="Z371" s="31">
        <v>0</v>
      </c>
      <c r="AA371" s="31">
        <v>0</v>
      </c>
      <c r="AB371" s="31">
        <v>0</v>
      </c>
    </row>
    <row r="372" spans="1:28" ht="29.1" customHeight="1" x14ac:dyDescent="0.3">
      <c r="A372" s="5" t="s">
        <v>621</v>
      </c>
      <c r="B372" s="5" t="s">
        <v>823</v>
      </c>
      <c r="C372" s="5" t="s">
        <v>823</v>
      </c>
      <c r="D372" s="5" t="s">
        <v>823</v>
      </c>
      <c r="E372" s="28">
        <v>0</v>
      </c>
      <c r="F372" s="28">
        <f>TRUNC(SUMIF(R368:R371, " ", F368:F371),0)</f>
        <v>8420</v>
      </c>
      <c r="G372" s="28">
        <v>0</v>
      </c>
      <c r="H372" s="28">
        <f>TRUNC(SUMIF(R368:R371, " ", H368:H371),0)</f>
        <v>58296</v>
      </c>
      <c r="I372" s="28">
        <v>0</v>
      </c>
      <c r="J372" s="27">
        <f>TRUNC(SUMIF(R368:R371, " ", J368:J371),0)</f>
        <v>13399</v>
      </c>
      <c r="K372" s="20" t="s">
        <v>823</v>
      </c>
      <c r="L372" s="28">
        <f>F372+H372+J372</f>
        <v>80115</v>
      </c>
      <c r="M372" s="29"/>
      <c r="N372" s="24" t="s">
        <v>747</v>
      </c>
      <c r="O372" s="4" t="s">
        <v>747</v>
      </c>
    </row>
    <row r="373" spans="1:28" ht="29.1" customHeight="1" x14ac:dyDescent="0.3">
      <c r="A373" s="5" t="s">
        <v>823</v>
      </c>
      <c r="B373" s="5" t="s">
        <v>823</v>
      </c>
      <c r="C373" s="5" t="s">
        <v>823</v>
      </c>
      <c r="D373" s="5" t="s">
        <v>823</v>
      </c>
      <c r="E373" s="5" t="s">
        <v>823</v>
      </c>
      <c r="F373" s="5" t="s">
        <v>823</v>
      </c>
      <c r="G373" s="5" t="s">
        <v>823</v>
      </c>
      <c r="H373" s="5" t="s">
        <v>823</v>
      </c>
      <c r="I373" s="5" t="s">
        <v>823</v>
      </c>
      <c r="J373" s="5" t="s">
        <v>823</v>
      </c>
      <c r="K373" s="5" t="s">
        <v>823</v>
      </c>
      <c r="L373" s="5" t="s">
        <v>823</v>
      </c>
      <c r="M373" s="5" t="s">
        <v>823</v>
      </c>
    </row>
    <row r="374" spans="1:28" ht="29.1" customHeight="1" x14ac:dyDescent="0.3">
      <c r="A374" s="48" t="s">
        <v>302</v>
      </c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50"/>
      <c r="N374" s="7" t="s">
        <v>1261</v>
      </c>
    </row>
    <row r="375" spans="1:28" ht="29.1" customHeight="1" x14ac:dyDescent="0.3">
      <c r="A375" s="5" t="s">
        <v>1216</v>
      </c>
      <c r="B375" s="29" t="s">
        <v>1070</v>
      </c>
      <c r="C375" s="5" t="s">
        <v>1001</v>
      </c>
      <c r="D375" s="10">
        <v>0.2298</v>
      </c>
      <c r="E375" s="28">
        <f>단가대비표!U95</f>
        <v>0</v>
      </c>
      <c r="F375" s="27">
        <f>TRUNC(D375*E375,2)</f>
        <v>0</v>
      </c>
      <c r="G375" s="28">
        <f>단가대비표!V95</f>
        <v>0</v>
      </c>
      <c r="H375" s="27">
        <f>TRUNC(D375*G375,2)</f>
        <v>0</v>
      </c>
      <c r="I375" s="28">
        <f>단가대비표!AE95</f>
        <v>134000</v>
      </c>
      <c r="J375" s="27">
        <f>TRUNC(D375*I375,2)</f>
        <v>30793.200000000001</v>
      </c>
      <c r="K375" s="27">
        <f t="shared" ref="K375:L378" si="67">E375+G375+I375</f>
        <v>134000</v>
      </c>
      <c r="L375" s="27">
        <f t="shared" si="67"/>
        <v>30793.200000000001</v>
      </c>
      <c r="M375" s="29" t="s">
        <v>1002</v>
      </c>
      <c r="N375" s="7" t="s">
        <v>1261</v>
      </c>
      <c r="O375" s="14" t="s">
        <v>963</v>
      </c>
      <c r="P375" s="14" t="s">
        <v>823</v>
      </c>
      <c r="Q375" s="14" t="s">
        <v>823</v>
      </c>
      <c r="R375" s="14" t="s">
        <v>228</v>
      </c>
      <c r="S375" s="31">
        <v>10</v>
      </c>
      <c r="T375" s="14" t="s">
        <v>823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0</v>
      </c>
      <c r="AA375" s="31">
        <v>0</v>
      </c>
      <c r="AB375" s="31">
        <v>0</v>
      </c>
    </row>
    <row r="376" spans="1:28" ht="29.1" customHeight="1" x14ac:dyDescent="0.3">
      <c r="A376" s="5" t="s">
        <v>1278</v>
      </c>
      <c r="B376" s="29" t="s">
        <v>269</v>
      </c>
      <c r="C376" s="5" t="s">
        <v>656</v>
      </c>
      <c r="D376" s="10">
        <v>1</v>
      </c>
      <c r="E376" s="27">
        <f>TRUNC(단가대비표!U92*1/8*16/12*25/20,2)</f>
        <v>0</v>
      </c>
      <c r="F376" s="27">
        <f>TRUNC(D376*E376,2)</f>
        <v>0</v>
      </c>
      <c r="G376" s="27">
        <f>TRUNC(단가대비표!V92*1/8*16/12*25/20,2)</f>
        <v>58296.66</v>
      </c>
      <c r="H376" s="27">
        <f>TRUNC(D376*G376,2)</f>
        <v>58296.66</v>
      </c>
      <c r="I376" s="27">
        <f>TRUNC(단가대비표!AE92*1/8*16/12*25/20,2)</f>
        <v>0</v>
      </c>
      <c r="J376" s="27">
        <f>TRUNC(D376*I376,2)</f>
        <v>0</v>
      </c>
      <c r="K376" s="27">
        <f t="shared" si="67"/>
        <v>58296.66</v>
      </c>
      <c r="L376" s="27">
        <f t="shared" si="67"/>
        <v>58296.66</v>
      </c>
      <c r="M376" s="29" t="s">
        <v>1240</v>
      </c>
      <c r="N376" s="7" t="s">
        <v>1261</v>
      </c>
      <c r="O376" s="14" t="s">
        <v>309</v>
      </c>
      <c r="P376" s="14" t="s">
        <v>823</v>
      </c>
      <c r="Q376" s="14" t="s">
        <v>823</v>
      </c>
      <c r="R376" s="14" t="s">
        <v>228</v>
      </c>
      <c r="S376" s="31">
        <v>20</v>
      </c>
      <c r="T376" s="14" t="s">
        <v>823</v>
      </c>
      <c r="U376" s="31">
        <v>0</v>
      </c>
      <c r="V376" s="31">
        <v>0</v>
      </c>
      <c r="W376" s="31">
        <v>0</v>
      </c>
      <c r="X376" s="31">
        <v>0</v>
      </c>
      <c r="Y376" s="31">
        <v>0</v>
      </c>
      <c r="Z376" s="31">
        <v>0</v>
      </c>
      <c r="AA376" s="31">
        <v>0</v>
      </c>
      <c r="AB376" s="31">
        <v>0</v>
      </c>
    </row>
    <row r="377" spans="1:28" ht="29.1" customHeight="1" x14ac:dyDescent="0.3">
      <c r="A377" s="5" t="s">
        <v>529</v>
      </c>
      <c r="B377" s="29" t="s">
        <v>498</v>
      </c>
      <c r="C377" s="5" t="s">
        <v>290</v>
      </c>
      <c r="D377" s="10">
        <v>3.8</v>
      </c>
      <c r="E377" s="27">
        <f>ROUND(단가대비표!U8,2)</f>
        <v>1391.81</v>
      </c>
      <c r="F377" s="27">
        <f>TRUNC(D377*E377,2)</f>
        <v>5288.87</v>
      </c>
      <c r="G377" s="27">
        <f>ROUND(단가대비표!V8,2)</f>
        <v>0</v>
      </c>
      <c r="H377" s="27">
        <f>TRUNC(D377*G377,2)</f>
        <v>0</v>
      </c>
      <c r="I377" s="27">
        <f>ROUND(단가대비표!AE8,2)</f>
        <v>0</v>
      </c>
      <c r="J377" s="27">
        <f>TRUNC(D377*I377,2)</f>
        <v>0</v>
      </c>
      <c r="K377" s="27">
        <f t="shared" si="67"/>
        <v>1391.81</v>
      </c>
      <c r="L377" s="27">
        <f t="shared" si="67"/>
        <v>5288.87</v>
      </c>
      <c r="M377" s="29" t="s">
        <v>260</v>
      </c>
      <c r="N377" s="7" t="s">
        <v>1261</v>
      </c>
      <c r="O377" s="14" t="s">
        <v>867</v>
      </c>
      <c r="P377" s="14" t="s">
        <v>823</v>
      </c>
      <c r="Q377" s="14" t="s">
        <v>823</v>
      </c>
      <c r="R377" s="14" t="s">
        <v>228</v>
      </c>
      <c r="S377" s="31">
        <v>30</v>
      </c>
      <c r="T377" s="14" t="s">
        <v>823</v>
      </c>
      <c r="U377" s="31">
        <v>0</v>
      </c>
      <c r="V377" s="31">
        <v>1</v>
      </c>
      <c r="W377" s="31">
        <v>0</v>
      </c>
      <c r="X377" s="31">
        <v>0</v>
      </c>
      <c r="Y377" s="31">
        <v>0</v>
      </c>
      <c r="Z377" s="31">
        <v>0</v>
      </c>
      <c r="AA377" s="31">
        <v>0</v>
      </c>
      <c r="AB377" s="31">
        <v>0</v>
      </c>
    </row>
    <row r="378" spans="1:28" ht="29.1" customHeight="1" x14ac:dyDescent="0.3">
      <c r="A378" s="5" t="s">
        <v>102</v>
      </c>
      <c r="B378" s="29" t="s">
        <v>195</v>
      </c>
      <c r="C378" s="5" t="s">
        <v>136</v>
      </c>
      <c r="D378" s="10">
        <v>1</v>
      </c>
      <c r="E378" s="27">
        <f>TRUNC(SUMIF(V375:V378, RIGHTB(O378, 1), F375:F378)*U378, 2)</f>
        <v>2062.65</v>
      </c>
      <c r="F378" s="27">
        <f>TRUNC(D378*E378,2)</f>
        <v>2062.65</v>
      </c>
      <c r="G378" s="27">
        <v>0</v>
      </c>
      <c r="H378" s="27">
        <f>TRUNC(D378*G378,2)</f>
        <v>0</v>
      </c>
      <c r="I378" s="27">
        <v>0</v>
      </c>
      <c r="J378" s="27">
        <f>TRUNC(D378*I378,2)</f>
        <v>0</v>
      </c>
      <c r="K378" s="27">
        <f t="shared" si="67"/>
        <v>2062.65</v>
      </c>
      <c r="L378" s="27">
        <f t="shared" si="67"/>
        <v>2062.65</v>
      </c>
      <c r="M378" s="29"/>
      <c r="N378" s="7" t="s">
        <v>1261</v>
      </c>
      <c r="O378" s="14" t="s">
        <v>572</v>
      </c>
      <c r="P378" s="14" t="s">
        <v>823</v>
      </c>
      <c r="Q378" s="14" t="s">
        <v>823</v>
      </c>
      <c r="R378" s="14" t="s">
        <v>228</v>
      </c>
      <c r="S378" s="31">
        <v>40</v>
      </c>
      <c r="T378" s="14" t="s">
        <v>519</v>
      </c>
      <c r="U378" s="31">
        <v>0.39</v>
      </c>
      <c r="V378" s="31">
        <v>0</v>
      </c>
      <c r="W378" s="31">
        <v>0</v>
      </c>
      <c r="X378" s="31">
        <v>0</v>
      </c>
      <c r="Y378" s="31">
        <v>0</v>
      </c>
      <c r="Z378" s="31">
        <v>0</v>
      </c>
      <c r="AA378" s="31">
        <v>0</v>
      </c>
      <c r="AB378" s="31">
        <v>0</v>
      </c>
    </row>
    <row r="379" spans="1:28" ht="29.1" customHeight="1" x14ac:dyDescent="0.3">
      <c r="A379" s="5" t="s">
        <v>621</v>
      </c>
      <c r="B379" s="5" t="s">
        <v>823</v>
      </c>
      <c r="C379" s="5" t="s">
        <v>823</v>
      </c>
      <c r="D379" s="5" t="s">
        <v>823</v>
      </c>
      <c r="E379" s="28">
        <v>0</v>
      </c>
      <c r="F379" s="28">
        <f>TRUNC(SUMIF(R375:R378, " ", F375:F378),0)</f>
        <v>7351</v>
      </c>
      <c r="G379" s="28">
        <v>0</v>
      </c>
      <c r="H379" s="28">
        <f>TRUNC(SUMIF(R375:R378, " ", H375:H378),0)</f>
        <v>58296</v>
      </c>
      <c r="I379" s="28">
        <v>0</v>
      </c>
      <c r="J379" s="27">
        <f>TRUNC(SUMIF(R375:R378, " ", J375:J378),0)</f>
        <v>30793</v>
      </c>
      <c r="K379" s="20" t="s">
        <v>823</v>
      </c>
      <c r="L379" s="28">
        <f>F379+H379+J379</f>
        <v>96440</v>
      </c>
      <c r="M379" s="29"/>
      <c r="N379" s="24" t="s">
        <v>747</v>
      </c>
      <c r="O379" s="4" t="s">
        <v>747</v>
      </c>
    </row>
    <row r="380" spans="1:28" ht="29.1" customHeight="1" x14ac:dyDescent="0.3">
      <c r="A380" s="5" t="s">
        <v>823</v>
      </c>
      <c r="B380" s="5" t="s">
        <v>823</v>
      </c>
      <c r="C380" s="5" t="s">
        <v>823</v>
      </c>
      <c r="D380" s="5" t="s">
        <v>823</v>
      </c>
      <c r="E380" s="5" t="s">
        <v>823</v>
      </c>
      <c r="F380" s="5" t="s">
        <v>823</v>
      </c>
      <c r="G380" s="5" t="s">
        <v>823</v>
      </c>
      <c r="H380" s="5" t="s">
        <v>823</v>
      </c>
      <c r="I380" s="5" t="s">
        <v>823</v>
      </c>
      <c r="J380" s="5" t="s">
        <v>823</v>
      </c>
      <c r="K380" s="5" t="s">
        <v>823</v>
      </c>
      <c r="L380" s="5" t="s">
        <v>823</v>
      </c>
      <c r="M380" s="5" t="s">
        <v>823</v>
      </c>
    </row>
    <row r="381" spans="1:28" ht="29.1" customHeight="1" x14ac:dyDescent="0.3">
      <c r="A381" s="48" t="s">
        <v>435</v>
      </c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50"/>
      <c r="N381" s="7" t="s">
        <v>87</v>
      </c>
    </row>
    <row r="382" spans="1:28" ht="29.1" customHeight="1" x14ac:dyDescent="0.3">
      <c r="A382" s="5" t="s">
        <v>1216</v>
      </c>
      <c r="B382" s="29" t="s">
        <v>199</v>
      </c>
      <c r="C382" s="5" t="s">
        <v>1001</v>
      </c>
      <c r="D382" s="10">
        <v>0.2298</v>
      </c>
      <c r="E382" s="28">
        <f>단가대비표!U96</f>
        <v>0</v>
      </c>
      <c r="F382" s="27">
        <f>TRUNC(D382*E382,2)</f>
        <v>0</v>
      </c>
      <c r="G382" s="28">
        <f>단가대비표!V96</f>
        <v>0</v>
      </c>
      <c r="H382" s="27">
        <f>TRUNC(D382*G382,2)</f>
        <v>0</v>
      </c>
      <c r="I382" s="28">
        <f>단가대비표!AE96</f>
        <v>229276</v>
      </c>
      <c r="J382" s="27">
        <f>TRUNC(D382*I382,2)</f>
        <v>52687.62</v>
      </c>
      <c r="K382" s="27">
        <f t="shared" ref="K382:L385" si="68">E382+G382+I382</f>
        <v>229276</v>
      </c>
      <c r="L382" s="27">
        <f t="shared" si="68"/>
        <v>52687.62</v>
      </c>
      <c r="M382" s="29" t="s">
        <v>908</v>
      </c>
      <c r="N382" s="7" t="s">
        <v>87</v>
      </c>
      <c r="O382" s="14" t="s">
        <v>594</v>
      </c>
      <c r="P382" s="14" t="s">
        <v>823</v>
      </c>
      <c r="Q382" s="14" t="s">
        <v>823</v>
      </c>
      <c r="R382" s="14" t="s">
        <v>228</v>
      </c>
      <c r="S382" s="31">
        <v>10</v>
      </c>
      <c r="T382" s="14" t="s">
        <v>823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0</v>
      </c>
      <c r="AA382" s="31">
        <v>0</v>
      </c>
      <c r="AB382" s="31">
        <v>0</v>
      </c>
    </row>
    <row r="383" spans="1:28" ht="29.1" customHeight="1" x14ac:dyDescent="0.3">
      <c r="A383" s="5" t="s">
        <v>1278</v>
      </c>
      <c r="B383" s="29" t="s">
        <v>269</v>
      </c>
      <c r="C383" s="5" t="s">
        <v>656</v>
      </c>
      <c r="D383" s="10">
        <v>1</v>
      </c>
      <c r="E383" s="27">
        <f>TRUNC(단가대비표!U92*1/8*16/12*25/20,2)</f>
        <v>0</v>
      </c>
      <c r="F383" s="27">
        <f>TRUNC(D383*E383,2)</f>
        <v>0</v>
      </c>
      <c r="G383" s="27">
        <f>TRUNC(단가대비표!V92*1/8*16/12*25/20,2)</f>
        <v>58296.66</v>
      </c>
      <c r="H383" s="27">
        <f>TRUNC(D383*G383,2)</f>
        <v>58296.66</v>
      </c>
      <c r="I383" s="27">
        <f>TRUNC(단가대비표!AE92*1/8*16/12*25/20,2)</f>
        <v>0</v>
      </c>
      <c r="J383" s="27">
        <f>TRUNC(D383*I383,2)</f>
        <v>0</v>
      </c>
      <c r="K383" s="27">
        <f t="shared" si="68"/>
        <v>58296.66</v>
      </c>
      <c r="L383" s="27">
        <f t="shared" si="68"/>
        <v>58296.66</v>
      </c>
      <c r="M383" s="29" t="s">
        <v>1240</v>
      </c>
      <c r="N383" s="7" t="s">
        <v>87</v>
      </c>
      <c r="O383" s="14" t="s">
        <v>309</v>
      </c>
      <c r="P383" s="14" t="s">
        <v>823</v>
      </c>
      <c r="Q383" s="14" t="s">
        <v>823</v>
      </c>
      <c r="R383" s="14" t="s">
        <v>228</v>
      </c>
      <c r="S383" s="31">
        <v>20</v>
      </c>
      <c r="T383" s="14" t="s">
        <v>823</v>
      </c>
      <c r="U383" s="31">
        <v>0</v>
      </c>
      <c r="V383" s="31">
        <v>0</v>
      </c>
      <c r="W383" s="31">
        <v>0</v>
      </c>
      <c r="X383" s="31">
        <v>0</v>
      </c>
      <c r="Y383" s="31">
        <v>0</v>
      </c>
      <c r="Z383" s="31">
        <v>0</v>
      </c>
      <c r="AA383" s="31">
        <v>0</v>
      </c>
      <c r="AB383" s="31">
        <v>0</v>
      </c>
    </row>
    <row r="384" spans="1:28" ht="29.1" customHeight="1" x14ac:dyDescent="0.3">
      <c r="A384" s="5" t="s">
        <v>529</v>
      </c>
      <c r="B384" s="29" t="s">
        <v>498</v>
      </c>
      <c r="C384" s="5" t="s">
        <v>290</v>
      </c>
      <c r="D384" s="10">
        <v>5.4</v>
      </c>
      <c r="E384" s="27">
        <f>ROUND(단가대비표!U8,2)</f>
        <v>1391.81</v>
      </c>
      <c r="F384" s="27">
        <f>TRUNC(D384*E384,2)</f>
        <v>7515.77</v>
      </c>
      <c r="G384" s="27">
        <f>ROUND(단가대비표!V8,2)</f>
        <v>0</v>
      </c>
      <c r="H384" s="27">
        <f>TRUNC(D384*G384,2)</f>
        <v>0</v>
      </c>
      <c r="I384" s="27">
        <f>ROUND(단가대비표!AE8,2)</f>
        <v>0</v>
      </c>
      <c r="J384" s="27">
        <f>TRUNC(D384*I384,2)</f>
        <v>0</v>
      </c>
      <c r="K384" s="27">
        <f t="shared" si="68"/>
        <v>1391.81</v>
      </c>
      <c r="L384" s="27">
        <f t="shared" si="68"/>
        <v>7515.77</v>
      </c>
      <c r="M384" s="29" t="s">
        <v>260</v>
      </c>
      <c r="N384" s="7" t="s">
        <v>87</v>
      </c>
      <c r="O384" s="14" t="s">
        <v>867</v>
      </c>
      <c r="P384" s="14" t="s">
        <v>823</v>
      </c>
      <c r="Q384" s="14" t="s">
        <v>823</v>
      </c>
      <c r="R384" s="14" t="s">
        <v>228</v>
      </c>
      <c r="S384" s="31">
        <v>30</v>
      </c>
      <c r="T384" s="14" t="s">
        <v>823</v>
      </c>
      <c r="U384" s="31">
        <v>0</v>
      </c>
      <c r="V384" s="31">
        <v>1</v>
      </c>
      <c r="W384" s="31">
        <v>0</v>
      </c>
      <c r="X384" s="31">
        <v>0</v>
      </c>
      <c r="Y384" s="31">
        <v>0</v>
      </c>
      <c r="Z384" s="31">
        <v>0</v>
      </c>
      <c r="AA384" s="31">
        <v>0</v>
      </c>
      <c r="AB384" s="31">
        <v>0</v>
      </c>
    </row>
    <row r="385" spans="1:28" ht="29.1" customHeight="1" x14ac:dyDescent="0.3">
      <c r="A385" s="5" t="s">
        <v>102</v>
      </c>
      <c r="B385" s="29" t="s">
        <v>195</v>
      </c>
      <c r="C385" s="5" t="s">
        <v>136</v>
      </c>
      <c r="D385" s="10">
        <v>1</v>
      </c>
      <c r="E385" s="27">
        <f>TRUNC(SUMIF(V382:V385, RIGHTB(O385, 1), F382:F385)*U385, 2)</f>
        <v>2931.15</v>
      </c>
      <c r="F385" s="27">
        <f>TRUNC(D385*E385,2)</f>
        <v>2931.15</v>
      </c>
      <c r="G385" s="27">
        <v>0</v>
      </c>
      <c r="H385" s="27">
        <f>TRUNC(D385*G385,2)</f>
        <v>0</v>
      </c>
      <c r="I385" s="27">
        <v>0</v>
      </c>
      <c r="J385" s="27">
        <f>TRUNC(D385*I385,2)</f>
        <v>0</v>
      </c>
      <c r="K385" s="27">
        <f t="shared" si="68"/>
        <v>2931.15</v>
      </c>
      <c r="L385" s="27">
        <f t="shared" si="68"/>
        <v>2931.15</v>
      </c>
      <c r="M385" s="29"/>
      <c r="N385" s="7" t="s">
        <v>87</v>
      </c>
      <c r="O385" s="14" t="s">
        <v>572</v>
      </c>
      <c r="P385" s="14" t="s">
        <v>823</v>
      </c>
      <c r="Q385" s="14" t="s">
        <v>823</v>
      </c>
      <c r="R385" s="14" t="s">
        <v>228</v>
      </c>
      <c r="S385" s="31">
        <v>40</v>
      </c>
      <c r="T385" s="14" t="s">
        <v>519</v>
      </c>
      <c r="U385" s="31">
        <v>0.39</v>
      </c>
      <c r="V385" s="31">
        <v>0</v>
      </c>
      <c r="W385" s="31">
        <v>0</v>
      </c>
      <c r="X385" s="31">
        <v>0</v>
      </c>
      <c r="Y385" s="31">
        <v>0</v>
      </c>
      <c r="Z385" s="31">
        <v>0</v>
      </c>
      <c r="AA385" s="31">
        <v>0</v>
      </c>
      <c r="AB385" s="31">
        <v>0</v>
      </c>
    </row>
    <row r="386" spans="1:28" ht="29.1" customHeight="1" x14ac:dyDescent="0.3">
      <c r="A386" s="5" t="s">
        <v>621</v>
      </c>
      <c r="B386" s="5" t="s">
        <v>823</v>
      </c>
      <c r="C386" s="5" t="s">
        <v>823</v>
      </c>
      <c r="D386" s="5" t="s">
        <v>823</v>
      </c>
      <c r="E386" s="28">
        <v>0</v>
      </c>
      <c r="F386" s="28">
        <f>TRUNC(SUMIF(R382:R385, " ", F382:F385),0)</f>
        <v>10446</v>
      </c>
      <c r="G386" s="28">
        <v>0</v>
      </c>
      <c r="H386" s="28">
        <f>TRUNC(SUMIF(R382:R385, " ", H382:H385),0)</f>
        <v>58296</v>
      </c>
      <c r="I386" s="28">
        <v>0</v>
      </c>
      <c r="J386" s="27">
        <f>TRUNC(SUMIF(R382:R385, " ", J382:J385),0)</f>
        <v>52687</v>
      </c>
      <c r="K386" s="20" t="s">
        <v>823</v>
      </c>
      <c r="L386" s="28">
        <f>F386+H386+J386</f>
        <v>121429</v>
      </c>
      <c r="M386" s="29"/>
      <c r="N386" s="24" t="s">
        <v>747</v>
      </c>
      <c r="O386" s="4" t="s">
        <v>747</v>
      </c>
    </row>
    <row r="387" spans="1:28" ht="29.1" customHeight="1" x14ac:dyDescent="0.3">
      <c r="A387" s="5" t="s">
        <v>823</v>
      </c>
      <c r="B387" s="5" t="s">
        <v>823</v>
      </c>
      <c r="C387" s="5" t="s">
        <v>823</v>
      </c>
      <c r="D387" s="5" t="s">
        <v>823</v>
      </c>
      <c r="E387" s="5" t="s">
        <v>823</v>
      </c>
      <c r="F387" s="5" t="s">
        <v>823</v>
      </c>
      <c r="G387" s="5" t="s">
        <v>823</v>
      </c>
      <c r="H387" s="5" t="s">
        <v>823</v>
      </c>
      <c r="I387" s="5" t="s">
        <v>823</v>
      </c>
      <c r="J387" s="5" t="s">
        <v>823</v>
      </c>
      <c r="K387" s="5" t="s">
        <v>823</v>
      </c>
      <c r="L387" s="5" t="s">
        <v>823</v>
      </c>
      <c r="M387" s="5" t="s">
        <v>823</v>
      </c>
    </row>
    <row r="388" spans="1:28" ht="29.1" customHeight="1" x14ac:dyDescent="0.3">
      <c r="A388" s="48" t="s">
        <v>1245</v>
      </c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50"/>
      <c r="N388" s="7" t="s">
        <v>909</v>
      </c>
    </row>
    <row r="389" spans="1:28" ht="29.1" customHeight="1" x14ac:dyDescent="0.3">
      <c r="A389" s="5" t="s">
        <v>1216</v>
      </c>
      <c r="B389" s="29" t="s">
        <v>224</v>
      </c>
      <c r="C389" s="5" t="s">
        <v>1001</v>
      </c>
      <c r="D389" s="10">
        <v>0.17369999999999999</v>
      </c>
      <c r="E389" s="28">
        <f>단가대비표!U97</f>
        <v>0</v>
      </c>
      <c r="F389" s="27">
        <f>TRUNC(D389*E389,2)</f>
        <v>0</v>
      </c>
      <c r="G389" s="28">
        <f>단가대비표!V97</f>
        <v>0</v>
      </c>
      <c r="H389" s="27">
        <f>TRUNC(D389*G389,2)</f>
        <v>0</v>
      </c>
      <c r="I389" s="28">
        <f>단가대비표!AE97</f>
        <v>511858</v>
      </c>
      <c r="J389" s="27">
        <f>TRUNC(D389*I389,2)</f>
        <v>88909.73</v>
      </c>
      <c r="K389" s="27">
        <f t="shared" ref="K389:L392" si="69">E389+G389+I389</f>
        <v>511858</v>
      </c>
      <c r="L389" s="27">
        <f t="shared" si="69"/>
        <v>88909.73</v>
      </c>
      <c r="M389" s="29" t="s">
        <v>1093</v>
      </c>
      <c r="N389" s="7" t="s">
        <v>909</v>
      </c>
      <c r="O389" s="14" t="s">
        <v>1202</v>
      </c>
      <c r="P389" s="14" t="s">
        <v>823</v>
      </c>
      <c r="Q389" s="14" t="s">
        <v>823</v>
      </c>
      <c r="R389" s="14" t="s">
        <v>228</v>
      </c>
      <c r="S389" s="31">
        <v>10</v>
      </c>
      <c r="T389" s="14" t="s">
        <v>823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0</v>
      </c>
      <c r="AA389" s="31">
        <v>0</v>
      </c>
      <c r="AB389" s="31">
        <v>0</v>
      </c>
    </row>
    <row r="390" spans="1:28" ht="29.1" customHeight="1" x14ac:dyDescent="0.3">
      <c r="A390" s="5" t="s">
        <v>1278</v>
      </c>
      <c r="B390" s="29" t="s">
        <v>269</v>
      </c>
      <c r="C390" s="5" t="s">
        <v>656</v>
      </c>
      <c r="D390" s="10">
        <v>1</v>
      </c>
      <c r="E390" s="27">
        <f>TRUNC(단가대비표!U92*1/8*16/12*25/20,2)</f>
        <v>0</v>
      </c>
      <c r="F390" s="27">
        <f>TRUNC(D390*E390,2)</f>
        <v>0</v>
      </c>
      <c r="G390" s="27">
        <f>TRUNC(단가대비표!V92*1/8*16/12*25/20,2)</f>
        <v>58296.66</v>
      </c>
      <c r="H390" s="27">
        <f>TRUNC(D390*G390,2)</f>
        <v>58296.66</v>
      </c>
      <c r="I390" s="27">
        <f>TRUNC(단가대비표!AE92*1/8*16/12*25/20,2)</f>
        <v>0</v>
      </c>
      <c r="J390" s="27">
        <f>TRUNC(D390*I390,2)</f>
        <v>0</v>
      </c>
      <c r="K390" s="27">
        <f t="shared" si="69"/>
        <v>58296.66</v>
      </c>
      <c r="L390" s="27">
        <f t="shared" si="69"/>
        <v>58296.66</v>
      </c>
      <c r="M390" s="29" t="s">
        <v>1240</v>
      </c>
      <c r="N390" s="7" t="s">
        <v>909</v>
      </c>
      <c r="O390" s="14" t="s">
        <v>309</v>
      </c>
      <c r="P390" s="14" t="s">
        <v>823</v>
      </c>
      <c r="Q390" s="14" t="s">
        <v>823</v>
      </c>
      <c r="R390" s="14" t="s">
        <v>228</v>
      </c>
      <c r="S390" s="31">
        <v>20</v>
      </c>
      <c r="T390" s="14" t="s">
        <v>823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1">
        <v>0</v>
      </c>
      <c r="AA390" s="31">
        <v>0</v>
      </c>
      <c r="AB390" s="31">
        <v>0</v>
      </c>
    </row>
    <row r="391" spans="1:28" ht="29.1" customHeight="1" x14ac:dyDescent="0.3">
      <c r="A391" s="5" t="s">
        <v>529</v>
      </c>
      <c r="B391" s="29" t="s">
        <v>498</v>
      </c>
      <c r="C391" s="5" t="s">
        <v>290</v>
      </c>
      <c r="D391" s="10">
        <v>10</v>
      </c>
      <c r="E391" s="27">
        <f>ROUND(단가대비표!U8,2)</f>
        <v>1391.81</v>
      </c>
      <c r="F391" s="27">
        <f>TRUNC(D391*E391,2)</f>
        <v>13918.1</v>
      </c>
      <c r="G391" s="27">
        <f>ROUND(단가대비표!V8,2)</f>
        <v>0</v>
      </c>
      <c r="H391" s="27">
        <f>TRUNC(D391*G391,2)</f>
        <v>0</v>
      </c>
      <c r="I391" s="27">
        <f>ROUND(단가대비표!AE8,2)</f>
        <v>0</v>
      </c>
      <c r="J391" s="27">
        <f>TRUNC(D391*I391,2)</f>
        <v>0</v>
      </c>
      <c r="K391" s="27">
        <f t="shared" si="69"/>
        <v>1391.81</v>
      </c>
      <c r="L391" s="27">
        <f t="shared" si="69"/>
        <v>13918.1</v>
      </c>
      <c r="M391" s="29" t="s">
        <v>260</v>
      </c>
      <c r="N391" s="7" t="s">
        <v>909</v>
      </c>
      <c r="O391" s="14" t="s">
        <v>867</v>
      </c>
      <c r="P391" s="14" t="s">
        <v>823</v>
      </c>
      <c r="Q391" s="14" t="s">
        <v>823</v>
      </c>
      <c r="R391" s="14" t="s">
        <v>228</v>
      </c>
      <c r="S391" s="31">
        <v>30</v>
      </c>
      <c r="T391" s="14" t="s">
        <v>823</v>
      </c>
      <c r="U391" s="31">
        <v>0</v>
      </c>
      <c r="V391" s="31">
        <v>1</v>
      </c>
      <c r="W391" s="31">
        <v>0</v>
      </c>
      <c r="X391" s="31">
        <v>0</v>
      </c>
      <c r="Y391" s="31">
        <v>0</v>
      </c>
      <c r="Z391" s="31">
        <v>0</v>
      </c>
      <c r="AA391" s="31">
        <v>0</v>
      </c>
      <c r="AB391" s="31">
        <v>0</v>
      </c>
    </row>
    <row r="392" spans="1:28" ht="29.1" customHeight="1" x14ac:dyDescent="0.3">
      <c r="A392" s="5" t="s">
        <v>102</v>
      </c>
      <c r="B392" s="29" t="s">
        <v>8</v>
      </c>
      <c r="C392" s="5" t="s">
        <v>136</v>
      </c>
      <c r="D392" s="10">
        <v>1</v>
      </c>
      <c r="E392" s="27">
        <f>TRUNC(SUMIF(V389:V392, RIGHTB(O392, 1), F389:F392)*U392, 2)</f>
        <v>7933.31</v>
      </c>
      <c r="F392" s="27">
        <f>TRUNC(D392*E392,2)</f>
        <v>7933.31</v>
      </c>
      <c r="G392" s="27">
        <v>0</v>
      </c>
      <c r="H392" s="27">
        <f>TRUNC(D392*G392,2)</f>
        <v>0</v>
      </c>
      <c r="I392" s="27">
        <v>0</v>
      </c>
      <c r="J392" s="27">
        <f>TRUNC(D392*I392,2)</f>
        <v>0</v>
      </c>
      <c r="K392" s="27">
        <f t="shared" si="69"/>
        <v>7933.31</v>
      </c>
      <c r="L392" s="27">
        <f t="shared" si="69"/>
        <v>7933.31</v>
      </c>
      <c r="M392" s="29"/>
      <c r="N392" s="7" t="s">
        <v>909</v>
      </c>
      <c r="O392" s="14" t="s">
        <v>572</v>
      </c>
      <c r="P392" s="14" t="s">
        <v>823</v>
      </c>
      <c r="Q392" s="14" t="s">
        <v>823</v>
      </c>
      <c r="R392" s="14" t="s">
        <v>228</v>
      </c>
      <c r="S392" s="31">
        <v>40</v>
      </c>
      <c r="T392" s="14" t="s">
        <v>93</v>
      </c>
      <c r="U392" s="31">
        <v>0.56999999999999995</v>
      </c>
      <c r="V392" s="31">
        <v>0</v>
      </c>
      <c r="W392" s="31">
        <v>0</v>
      </c>
      <c r="X392" s="31">
        <v>0</v>
      </c>
      <c r="Y392" s="31">
        <v>0</v>
      </c>
      <c r="Z392" s="31">
        <v>0</v>
      </c>
      <c r="AA392" s="31">
        <v>0</v>
      </c>
      <c r="AB392" s="31">
        <v>0</v>
      </c>
    </row>
    <row r="393" spans="1:28" ht="29.1" customHeight="1" x14ac:dyDescent="0.3">
      <c r="A393" s="5" t="s">
        <v>621</v>
      </c>
      <c r="B393" s="5" t="s">
        <v>823</v>
      </c>
      <c r="C393" s="5" t="s">
        <v>823</v>
      </c>
      <c r="D393" s="5" t="s">
        <v>823</v>
      </c>
      <c r="E393" s="28">
        <v>0</v>
      </c>
      <c r="F393" s="28">
        <f>TRUNC(SUMIF(R389:R392, " ", F389:F392),0)</f>
        <v>21851</v>
      </c>
      <c r="G393" s="28">
        <v>0</v>
      </c>
      <c r="H393" s="28">
        <f>TRUNC(SUMIF(R389:R392, " ", H389:H392),0)</f>
        <v>58296</v>
      </c>
      <c r="I393" s="28">
        <v>0</v>
      </c>
      <c r="J393" s="27">
        <f>TRUNC(SUMIF(R389:R392, " ", J389:J392),0)</f>
        <v>88909</v>
      </c>
      <c r="K393" s="20" t="s">
        <v>823</v>
      </c>
      <c r="L393" s="28">
        <f>F393+H393+J393</f>
        <v>169056</v>
      </c>
      <c r="M393" s="29"/>
      <c r="N393" s="24" t="s">
        <v>747</v>
      </c>
      <c r="O393" s="4" t="s">
        <v>747</v>
      </c>
    </row>
    <row r="394" spans="1:28" ht="29.1" customHeight="1" x14ac:dyDescent="0.3">
      <c r="A394" s="5" t="s">
        <v>823</v>
      </c>
      <c r="B394" s="5" t="s">
        <v>823</v>
      </c>
      <c r="C394" s="5" t="s">
        <v>823</v>
      </c>
      <c r="D394" s="5" t="s">
        <v>823</v>
      </c>
      <c r="E394" s="5" t="s">
        <v>823</v>
      </c>
      <c r="F394" s="5" t="s">
        <v>823</v>
      </c>
      <c r="G394" s="5" t="s">
        <v>823</v>
      </c>
      <c r="H394" s="5" t="s">
        <v>823</v>
      </c>
      <c r="I394" s="5" t="s">
        <v>823</v>
      </c>
      <c r="J394" s="5" t="s">
        <v>823</v>
      </c>
      <c r="K394" s="5" t="s">
        <v>823</v>
      </c>
      <c r="L394" s="5" t="s">
        <v>823</v>
      </c>
      <c r="M394" s="5" t="s">
        <v>823</v>
      </c>
    </row>
    <row r="395" spans="1:28" ht="29.1" customHeight="1" x14ac:dyDescent="0.3">
      <c r="A395" s="48" t="s">
        <v>1087</v>
      </c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50"/>
      <c r="N395" s="7" t="s">
        <v>16</v>
      </c>
    </row>
    <row r="396" spans="1:28" ht="29.1" customHeight="1" x14ac:dyDescent="0.3">
      <c r="A396" s="5" t="s">
        <v>712</v>
      </c>
      <c r="B396" s="29" t="s">
        <v>1070</v>
      </c>
      <c r="C396" s="5" t="s">
        <v>1001</v>
      </c>
      <c r="D396" s="10">
        <v>0.25979999999999998</v>
      </c>
      <c r="E396" s="28">
        <f>단가대비표!U98</f>
        <v>0</v>
      </c>
      <c r="F396" s="27">
        <f>TRUNC(D396*E396,2)</f>
        <v>0</v>
      </c>
      <c r="G396" s="28">
        <f>단가대비표!V98</f>
        <v>0</v>
      </c>
      <c r="H396" s="27">
        <f>TRUNC(D396*G396,2)</f>
        <v>0</v>
      </c>
      <c r="I396" s="28">
        <f>단가대비표!AE98</f>
        <v>86757</v>
      </c>
      <c r="J396" s="27">
        <f>TRUNC(D396*I396,2)</f>
        <v>22539.46</v>
      </c>
      <c r="K396" s="27">
        <f t="shared" ref="K396:L399" si="70">E396+G396+I396</f>
        <v>86757</v>
      </c>
      <c r="L396" s="27">
        <f t="shared" si="70"/>
        <v>22539.46</v>
      </c>
      <c r="M396" s="29" t="s">
        <v>497</v>
      </c>
      <c r="N396" s="7" t="s">
        <v>16</v>
      </c>
      <c r="O396" s="14" t="s">
        <v>294</v>
      </c>
      <c r="P396" s="14" t="s">
        <v>823</v>
      </c>
      <c r="Q396" s="14" t="s">
        <v>823</v>
      </c>
      <c r="R396" s="14" t="s">
        <v>228</v>
      </c>
      <c r="S396" s="31">
        <v>10</v>
      </c>
      <c r="T396" s="14" t="s">
        <v>823</v>
      </c>
      <c r="U396" s="31">
        <v>0</v>
      </c>
      <c r="V396" s="31">
        <v>0</v>
      </c>
      <c r="W396" s="31">
        <v>0</v>
      </c>
      <c r="X396" s="31">
        <v>0</v>
      </c>
      <c r="Y396" s="31">
        <v>0</v>
      </c>
      <c r="Z396" s="31">
        <v>0</v>
      </c>
      <c r="AA396" s="31">
        <v>0</v>
      </c>
      <c r="AB396" s="31">
        <v>0</v>
      </c>
    </row>
    <row r="397" spans="1:28" ht="29.1" customHeight="1" x14ac:dyDescent="0.3">
      <c r="A397" s="5" t="s">
        <v>671</v>
      </c>
      <c r="B397" s="29" t="s">
        <v>269</v>
      </c>
      <c r="C397" s="5" t="s">
        <v>656</v>
      </c>
      <c r="D397" s="10">
        <v>1</v>
      </c>
      <c r="E397" s="27">
        <f>TRUNC(단가대비표!U93*1/8*16/12*25/20,2)</f>
        <v>0</v>
      </c>
      <c r="F397" s="27">
        <f>TRUNC(D397*E397,2)</f>
        <v>0</v>
      </c>
      <c r="G397" s="27">
        <f>TRUNC(단가대비표!V93*1/8*16/12*25/20,2)</f>
        <v>50142.7</v>
      </c>
      <c r="H397" s="27">
        <f>TRUNC(D397*G397,2)</f>
        <v>50142.7</v>
      </c>
      <c r="I397" s="27">
        <f>TRUNC(단가대비표!AE93*1/8*16/12*25/20,2)</f>
        <v>0</v>
      </c>
      <c r="J397" s="27">
        <f>TRUNC(D397*I397,2)</f>
        <v>0</v>
      </c>
      <c r="K397" s="27">
        <f t="shared" si="70"/>
        <v>50142.7</v>
      </c>
      <c r="L397" s="27">
        <f t="shared" si="70"/>
        <v>50142.7</v>
      </c>
      <c r="M397" s="29" t="s">
        <v>557</v>
      </c>
      <c r="N397" s="7" t="s">
        <v>16</v>
      </c>
      <c r="O397" s="14" t="s">
        <v>118</v>
      </c>
      <c r="P397" s="14" t="s">
        <v>823</v>
      </c>
      <c r="Q397" s="14" t="s">
        <v>823</v>
      </c>
      <c r="R397" s="14" t="s">
        <v>228</v>
      </c>
      <c r="S397" s="31">
        <v>20</v>
      </c>
      <c r="T397" s="14" t="s">
        <v>823</v>
      </c>
      <c r="U397" s="31">
        <v>0</v>
      </c>
      <c r="V397" s="31">
        <v>0</v>
      </c>
      <c r="W397" s="31">
        <v>0</v>
      </c>
      <c r="X397" s="31">
        <v>0</v>
      </c>
      <c r="Y397" s="31">
        <v>0</v>
      </c>
      <c r="Z397" s="31">
        <v>0</v>
      </c>
      <c r="AA397" s="31">
        <v>0</v>
      </c>
      <c r="AB397" s="31">
        <v>0</v>
      </c>
    </row>
    <row r="398" spans="1:28" ht="29.1" customHeight="1" x14ac:dyDescent="0.3">
      <c r="A398" s="5" t="s">
        <v>529</v>
      </c>
      <c r="B398" s="29" t="s">
        <v>498</v>
      </c>
      <c r="C398" s="5" t="s">
        <v>290</v>
      </c>
      <c r="D398" s="10">
        <v>10.3</v>
      </c>
      <c r="E398" s="27">
        <f>ROUND(단가대비표!U8,2)</f>
        <v>1391.81</v>
      </c>
      <c r="F398" s="27">
        <f>TRUNC(D398*E398,2)</f>
        <v>14335.64</v>
      </c>
      <c r="G398" s="27">
        <f>ROUND(단가대비표!V8,2)</f>
        <v>0</v>
      </c>
      <c r="H398" s="27">
        <f>TRUNC(D398*G398,2)</f>
        <v>0</v>
      </c>
      <c r="I398" s="27">
        <f>ROUND(단가대비표!AE8,2)</f>
        <v>0</v>
      </c>
      <c r="J398" s="27">
        <f>TRUNC(D398*I398,2)</f>
        <v>0</v>
      </c>
      <c r="K398" s="27">
        <f t="shared" si="70"/>
        <v>1391.81</v>
      </c>
      <c r="L398" s="27">
        <f t="shared" si="70"/>
        <v>14335.64</v>
      </c>
      <c r="M398" s="29" t="s">
        <v>260</v>
      </c>
      <c r="N398" s="7" t="s">
        <v>16</v>
      </c>
      <c r="O398" s="14" t="s">
        <v>867</v>
      </c>
      <c r="P398" s="14" t="s">
        <v>823</v>
      </c>
      <c r="Q398" s="14" t="s">
        <v>823</v>
      </c>
      <c r="R398" s="14" t="s">
        <v>228</v>
      </c>
      <c r="S398" s="31">
        <v>30</v>
      </c>
      <c r="T398" s="14" t="s">
        <v>823</v>
      </c>
      <c r="U398" s="31">
        <v>0</v>
      </c>
      <c r="V398" s="31">
        <v>1</v>
      </c>
      <c r="W398" s="31">
        <v>0</v>
      </c>
      <c r="X398" s="31">
        <v>0</v>
      </c>
      <c r="Y398" s="31">
        <v>0</v>
      </c>
      <c r="Z398" s="31">
        <v>0</v>
      </c>
      <c r="AA398" s="31">
        <v>0</v>
      </c>
      <c r="AB398" s="31">
        <v>0</v>
      </c>
    </row>
    <row r="399" spans="1:28" ht="29.1" customHeight="1" x14ac:dyDescent="0.3">
      <c r="A399" s="5" t="s">
        <v>102</v>
      </c>
      <c r="B399" s="29" t="s">
        <v>981</v>
      </c>
      <c r="C399" s="5" t="s">
        <v>136</v>
      </c>
      <c r="D399" s="10">
        <v>1</v>
      </c>
      <c r="E399" s="27">
        <f>TRUNC(SUMIF(V396:V399, RIGHTB(O399, 1), F396:F399)*U399, 2)</f>
        <v>2867.12</v>
      </c>
      <c r="F399" s="27">
        <f>TRUNC(D399*E399,2)</f>
        <v>2867.12</v>
      </c>
      <c r="G399" s="27">
        <v>0</v>
      </c>
      <c r="H399" s="27">
        <f>TRUNC(D399*G399,2)</f>
        <v>0</v>
      </c>
      <c r="I399" s="27">
        <v>0</v>
      </c>
      <c r="J399" s="27">
        <f>TRUNC(D399*I399,2)</f>
        <v>0</v>
      </c>
      <c r="K399" s="27">
        <f t="shared" si="70"/>
        <v>2867.12</v>
      </c>
      <c r="L399" s="27">
        <f t="shared" si="70"/>
        <v>2867.12</v>
      </c>
      <c r="M399" s="29"/>
      <c r="N399" s="7" t="s">
        <v>16</v>
      </c>
      <c r="O399" s="14" t="s">
        <v>572</v>
      </c>
      <c r="P399" s="14" t="s">
        <v>823</v>
      </c>
      <c r="Q399" s="14" t="s">
        <v>823</v>
      </c>
      <c r="R399" s="14" t="s">
        <v>228</v>
      </c>
      <c r="S399" s="31">
        <v>40</v>
      </c>
      <c r="T399" s="14" t="s">
        <v>872</v>
      </c>
      <c r="U399" s="31">
        <v>0.2</v>
      </c>
      <c r="V399" s="31">
        <v>0</v>
      </c>
      <c r="W399" s="31">
        <v>0</v>
      </c>
      <c r="X399" s="31">
        <v>0</v>
      </c>
      <c r="Y399" s="31">
        <v>0</v>
      </c>
      <c r="Z399" s="31">
        <v>0</v>
      </c>
      <c r="AA399" s="31">
        <v>0</v>
      </c>
      <c r="AB399" s="31">
        <v>0</v>
      </c>
    </row>
    <row r="400" spans="1:28" ht="29.1" customHeight="1" x14ac:dyDescent="0.3">
      <c r="A400" s="5" t="s">
        <v>621</v>
      </c>
      <c r="B400" s="5" t="s">
        <v>823</v>
      </c>
      <c r="C400" s="5" t="s">
        <v>823</v>
      </c>
      <c r="D400" s="5" t="s">
        <v>823</v>
      </c>
      <c r="E400" s="28">
        <v>0</v>
      </c>
      <c r="F400" s="28">
        <f>TRUNC(SUMIF(R396:R399, " ", F396:F399),0)</f>
        <v>17202</v>
      </c>
      <c r="G400" s="28">
        <v>0</v>
      </c>
      <c r="H400" s="28">
        <f>TRUNC(SUMIF(R396:R399, " ", H396:H399),0)</f>
        <v>50142</v>
      </c>
      <c r="I400" s="28">
        <v>0</v>
      </c>
      <c r="J400" s="27">
        <f>TRUNC(SUMIF(R396:R399, " ", J396:J399),0)</f>
        <v>22539</v>
      </c>
      <c r="K400" s="20" t="s">
        <v>823</v>
      </c>
      <c r="L400" s="28">
        <f>F400+H400+J400</f>
        <v>89883</v>
      </c>
      <c r="M400" s="29"/>
      <c r="N400" s="24" t="s">
        <v>747</v>
      </c>
      <c r="O400" s="4" t="s">
        <v>747</v>
      </c>
    </row>
    <row r="401" spans="1:28" ht="29.1" customHeight="1" x14ac:dyDescent="0.3">
      <c r="A401" s="5" t="s">
        <v>823</v>
      </c>
      <c r="B401" s="5" t="s">
        <v>823</v>
      </c>
      <c r="C401" s="5" t="s">
        <v>823</v>
      </c>
      <c r="D401" s="5" t="s">
        <v>823</v>
      </c>
      <c r="E401" s="5" t="s">
        <v>823</v>
      </c>
      <c r="F401" s="5" t="s">
        <v>823</v>
      </c>
      <c r="G401" s="5" t="s">
        <v>823</v>
      </c>
      <c r="H401" s="5" t="s">
        <v>823</v>
      </c>
      <c r="I401" s="5" t="s">
        <v>823</v>
      </c>
      <c r="J401" s="5" t="s">
        <v>823</v>
      </c>
      <c r="K401" s="5" t="s">
        <v>823</v>
      </c>
      <c r="L401" s="5" t="s">
        <v>823</v>
      </c>
      <c r="M401" s="5" t="s">
        <v>823</v>
      </c>
    </row>
    <row r="402" spans="1:28" ht="29.1" customHeight="1" x14ac:dyDescent="0.3">
      <c r="A402" s="48" t="s">
        <v>436</v>
      </c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50"/>
      <c r="N402" s="7" t="s">
        <v>755</v>
      </c>
    </row>
    <row r="403" spans="1:28" ht="29.1" customHeight="1" x14ac:dyDescent="0.3">
      <c r="A403" s="5" t="s">
        <v>725</v>
      </c>
      <c r="B403" s="29" t="s">
        <v>199</v>
      </c>
      <c r="C403" s="5" t="s">
        <v>1001</v>
      </c>
      <c r="D403" s="10">
        <v>0.2576</v>
      </c>
      <c r="E403" s="28">
        <f>단가대비표!U99</f>
        <v>0</v>
      </c>
      <c r="F403" s="27">
        <f>TRUNC(D403*E403,2)</f>
        <v>0</v>
      </c>
      <c r="G403" s="28">
        <f>단가대비표!V99</f>
        <v>0</v>
      </c>
      <c r="H403" s="27">
        <f>TRUNC(D403*G403,2)</f>
        <v>0</v>
      </c>
      <c r="I403" s="28">
        <f>단가대비표!AE99</f>
        <v>65504</v>
      </c>
      <c r="J403" s="27">
        <f>TRUNC(D403*I403,2)</f>
        <v>16873.830000000002</v>
      </c>
      <c r="K403" s="27">
        <f t="shared" ref="K403:L406" si="71">E403+G403+I403</f>
        <v>65504</v>
      </c>
      <c r="L403" s="27">
        <f t="shared" si="71"/>
        <v>16873.830000000002</v>
      </c>
      <c r="M403" s="29" t="s">
        <v>935</v>
      </c>
      <c r="N403" s="7" t="s">
        <v>755</v>
      </c>
      <c r="O403" s="14" t="s">
        <v>1142</v>
      </c>
      <c r="P403" s="14" t="s">
        <v>823</v>
      </c>
      <c r="Q403" s="14" t="s">
        <v>823</v>
      </c>
      <c r="R403" s="14" t="s">
        <v>228</v>
      </c>
      <c r="S403" s="31">
        <v>10</v>
      </c>
      <c r="T403" s="14" t="s">
        <v>823</v>
      </c>
      <c r="U403" s="31">
        <v>0</v>
      </c>
      <c r="V403" s="31">
        <v>0</v>
      </c>
      <c r="W403" s="31">
        <v>0</v>
      </c>
      <c r="X403" s="31">
        <v>0</v>
      </c>
      <c r="Y403" s="31">
        <v>0</v>
      </c>
      <c r="Z403" s="31">
        <v>0</v>
      </c>
      <c r="AA403" s="31">
        <v>0</v>
      </c>
      <c r="AB403" s="31">
        <v>0</v>
      </c>
    </row>
    <row r="404" spans="1:28" ht="29.1" customHeight="1" x14ac:dyDescent="0.3">
      <c r="A404" s="5" t="s">
        <v>529</v>
      </c>
      <c r="B404" s="29" t="s">
        <v>498</v>
      </c>
      <c r="C404" s="5" t="s">
        <v>290</v>
      </c>
      <c r="D404" s="10">
        <v>16.5</v>
      </c>
      <c r="E404" s="27">
        <f>ROUND(단가대비표!U8,2)</f>
        <v>1391.81</v>
      </c>
      <c r="F404" s="27">
        <f>TRUNC(D404*E404,2)</f>
        <v>22964.86</v>
      </c>
      <c r="G404" s="27">
        <f>ROUND(단가대비표!V8,2)</f>
        <v>0</v>
      </c>
      <c r="H404" s="27">
        <f>TRUNC(D404*G404,2)</f>
        <v>0</v>
      </c>
      <c r="I404" s="27">
        <f>ROUND(단가대비표!AE8,2)</f>
        <v>0</v>
      </c>
      <c r="J404" s="27">
        <f>TRUNC(D404*I404,2)</f>
        <v>0</v>
      </c>
      <c r="K404" s="27">
        <f t="shared" si="71"/>
        <v>1391.81</v>
      </c>
      <c r="L404" s="27">
        <f t="shared" si="71"/>
        <v>22964.86</v>
      </c>
      <c r="M404" s="29" t="s">
        <v>260</v>
      </c>
      <c r="N404" s="7" t="s">
        <v>755</v>
      </c>
      <c r="O404" s="14" t="s">
        <v>867</v>
      </c>
      <c r="P404" s="14" t="s">
        <v>823</v>
      </c>
      <c r="Q404" s="14" t="s">
        <v>823</v>
      </c>
      <c r="R404" s="14" t="s">
        <v>228</v>
      </c>
      <c r="S404" s="31">
        <v>20</v>
      </c>
      <c r="T404" s="14" t="s">
        <v>823</v>
      </c>
      <c r="U404" s="31">
        <v>0</v>
      </c>
      <c r="V404" s="31">
        <v>1</v>
      </c>
      <c r="W404" s="31">
        <v>0</v>
      </c>
      <c r="X404" s="31">
        <v>0</v>
      </c>
      <c r="Y404" s="31">
        <v>0</v>
      </c>
      <c r="Z404" s="31">
        <v>0</v>
      </c>
      <c r="AA404" s="31">
        <v>0</v>
      </c>
      <c r="AB404" s="31">
        <v>0</v>
      </c>
    </row>
    <row r="405" spans="1:28" ht="29.1" customHeight="1" x14ac:dyDescent="0.3">
      <c r="A405" s="5" t="s">
        <v>468</v>
      </c>
      <c r="B405" s="29" t="s">
        <v>329</v>
      </c>
      <c r="C405" s="5" t="s">
        <v>136</v>
      </c>
      <c r="D405" s="10">
        <v>1</v>
      </c>
      <c r="E405" s="27">
        <f>TRUNC(SUMIF(V403:V406, RIGHTB(O405, 1), F403:F406)*U405, 2)</f>
        <v>8956.2900000000009</v>
      </c>
      <c r="F405" s="27">
        <f>TRUNC(D405*E405,2)</f>
        <v>8956.2900000000009</v>
      </c>
      <c r="G405" s="27">
        <v>0</v>
      </c>
      <c r="H405" s="27">
        <f>TRUNC(D405*G405,2)</f>
        <v>0</v>
      </c>
      <c r="I405" s="27">
        <v>0</v>
      </c>
      <c r="J405" s="27">
        <f>TRUNC(D405*I405,2)</f>
        <v>0</v>
      </c>
      <c r="K405" s="27">
        <f t="shared" si="71"/>
        <v>8956.2900000000009</v>
      </c>
      <c r="L405" s="27">
        <f t="shared" si="71"/>
        <v>8956.2900000000009</v>
      </c>
      <c r="M405" s="29" t="s">
        <v>823</v>
      </c>
      <c r="N405" s="7" t="s">
        <v>755</v>
      </c>
      <c r="O405" s="14" t="s">
        <v>572</v>
      </c>
      <c r="P405" s="14" t="s">
        <v>823</v>
      </c>
      <c r="Q405" s="14" t="s">
        <v>823</v>
      </c>
      <c r="R405" s="14" t="s">
        <v>228</v>
      </c>
      <c r="S405" s="31">
        <v>30</v>
      </c>
      <c r="T405" s="14" t="s">
        <v>1196</v>
      </c>
      <c r="U405" s="31">
        <v>0.39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</row>
    <row r="406" spans="1:28" ht="29.1" customHeight="1" x14ac:dyDescent="0.3">
      <c r="A406" s="5" t="s">
        <v>1278</v>
      </c>
      <c r="B406" s="29" t="s">
        <v>269</v>
      </c>
      <c r="C406" s="5" t="s">
        <v>656</v>
      </c>
      <c r="D406" s="10">
        <v>1</v>
      </c>
      <c r="E406" s="27">
        <f>TRUNC(단가대비표!U92*1/8*16/12*25/20,2)</f>
        <v>0</v>
      </c>
      <c r="F406" s="27">
        <f>TRUNC(D406*E406,2)</f>
        <v>0</v>
      </c>
      <c r="G406" s="27">
        <f>TRUNC(단가대비표!V92*1/8*16/12*25/20,2)</f>
        <v>58296.66</v>
      </c>
      <c r="H406" s="27">
        <f>TRUNC(D406*G406,2)</f>
        <v>58296.66</v>
      </c>
      <c r="I406" s="27">
        <f>TRUNC(단가대비표!AE92*1/8*16/12*25/20,2)</f>
        <v>0</v>
      </c>
      <c r="J406" s="27">
        <f>TRUNC(D406*I406,2)</f>
        <v>0</v>
      </c>
      <c r="K406" s="27">
        <f t="shared" si="71"/>
        <v>58296.66</v>
      </c>
      <c r="L406" s="27">
        <f t="shared" si="71"/>
        <v>58296.66</v>
      </c>
      <c r="M406" s="29" t="s">
        <v>1240</v>
      </c>
      <c r="N406" s="7" t="s">
        <v>755</v>
      </c>
      <c r="O406" s="14" t="s">
        <v>309</v>
      </c>
      <c r="P406" s="14" t="s">
        <v>823</v>
      </c>
      <c r="Q406" s="14" t="s">
        <v>823</v>
      </c>
      <c r="R406" s="14" t="s">
        <v>228</v>
      </c>
      <c r="S406" s="31">
        <v>40</v>
      </c>
      <c r="T406" s="14" t="s">
        <v>823</v>
      </c>
      <c r="U406" s="31">
        <v>0</v>
      </c>
      <c r="V406" s="31">
        <v>0</v>
      </c>
      <c r="W406" s="31">
        <v>0</v>
      </c>
      <c r="X406" s="31">
        <v>0</v>
      </c>
      <c r="Y406" s="31">
        <v>0</v>
      </c>
      <c r="Z406" s="31">
        <v>0</v>
      </c>
      <c r="AA406" s="31">
        <v>0</v>
      </c>
      <c r="AB406" s="31">
        <v>0</v>
      </c>
    </row>
    <row r="407" spans="1:28" ht="29.1" customHeight="1" x14ac:dyDescent="0.3">
      <c r="A407" s="5" t="s">
        <v>621</v>
      </c>
      <c r="B407" s="5" t="s">
        <v>823</v>
      </c>
      <c r="C407" s="5" t="s">
        <v>823</v>
      </c>
      <c r="D407" s="5" t="s">
        <v>823</v>
      </c>
      <c r="E407" s="28">
        <v>0</v>
      </c>
      <c r="F407" s="28">
        <f>TRUNC(SUMIF(R403:R406, " ", F403:F406),0)</f>
        <v>31921</v>
      </c>
      <c r="G407" s="28">
        <v>0</v>
      </c>
      <c r="H407" s="28">
        <f>TRUNC(SUMIF(R403:R406, " ", H403:H406),0)</f>
        <v>58296</v>
      </c>
      <c r="I407" s="28">
        <v>0</v>
      </c>
      <c r="J407" s="27">
        <f>TRUNC(SUMIF(R403:R406, " ", J403:J406),0)</f>
        <v>16873</v>
      </c>
      <c r="K407" s="20" t="s">
        <v>823</v>
      </c>
      <c r="L407" s="28">
        <f>F407+H407+J407</f>
        <v>107090</v>
      </c>
      <c r="M407" s="29"/>
      <c r="N407" s="24" t="s">
        <v>747</v>
      </c>
      <c r="O407" s="4" t="s">
        <v>747</v>
      </c>
    </row>
    <row r="408" spans="1:28" ht="29.1" customHeight="1" x14ac:dyDescent="0.3">
      <c r="A408" s="5" t="s">
        <v>823</v>
      </c>
      <c r="B408" s="5" t="s">
        <v>823</v>
      </c>
      <c r="C408" s="5" t="s">
        <v>823</v>
      </c>
      <c r="D408" s="5" t="s">
        <v>823</v>
      </c>
      <c r="E408" s="5" t="s">
        <v>823</v>
      </c>
      <c r="F408" s="5" t="s">
        <v>823</v>
      </c>
      <c r="G408" s="5" t="s">
        <v>823</v>
      </c>
      <c r="H408" s="5" t="s">
        <v>823</v>
      </c>
      <c r="I408" s="5" t="s">
        <v>823</v>
      </c>
      <c r="J408" s="5" t="s">
        <v>823</v>
      </c>
      <c r="K408" s="5" t="s">
        <v>823</v>
      </c>
      <c r="L408" s="5" t="s">
        <v>823</v>
      </c>
      <c r="M408" s="5" t="s">
        <v>823</v>
      </c>
    </row>
    <row r="409" spans="1:28" ht="29.1" customHeight="1" x14ac:dyDescent="0.3">
      <c r="A409" s="48" t="s">
        <v>170</v>
      </c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50"/>
      <c r="N409" s="7" t="s">
        <v>297</v>
      </c>
    </row>
    <row r="410" spans="1:28" ht="29.1" customHeight="1" x14ac:dyDescent="0.3">
      <c r="A410" s="5" t="s">
        <v>432</v>
      </c>
      <c r="B410" s="29" t="s">
        <v>269</v>
      </c>
      <c r="C410" s="5" t="s">
        <v>656</v>
      </c>
      <c r="D410" s="10">
        <v>0.02</v>
      </c>
      <c r="E410" s="28">
        <f>단가대비표!U83</f>
        <v>0</v>
      </c>
      <c r="F410" s="27">
        <f>TRUNC(D410*E410,2)</f>
        <v>0</v>
      </c>
      <c r="G410" s="28">
        <f>단가대비표!V83</f>
        <v>279613</v>
      </c>
      <c r="H410" s="27">
        <f>TRUNC(D410*G410,2)</f>
        <v>5592.26</v>
      </c>
      <c r="I410" s="28">
        <f>단가대비표!AE83</f>
        <v>0</v>
      </c>
      <c r="J410" s="27">
        <f>TRUNC(D410*I410,2)</f>
        <v>0</v>
      </c>
      <c r="K410" s="27">
        <f>E410+G410+I410</f>
        <v>279613</v>
      </c>
      <c r="L410" s="27">
        <f>F410+H410+J410</f>
        <v>5592.26</v>
      </c>
      <c r="M410" s="29" t="s">
        <v>1044</v>
      </c>
      <c r="N410" s="7" t="s">
        <v>297</v>
      </c>
      <c r="O410" s="14" t="s">
        <v>687</v>
      </c>
      <c r="P410" s="14" t="s">
        <v>823</v>
      </c>
      <c r="Q410" s="14" t="s">
        <v>823</v>
      </c>
      <c r="R410" s="14" t="s">
        <v>228</v>
      </c>
      <c r="S410" s="31">
        <v>10</v>
      </c>
      <c r="T410" s="14" t="s">
        <v>823</v>
      </c>
      <c r="U410" s="31">
        <v>0</v>
      </c>
      <c r="V410" s="31">
        <v>0</v>
      </c>
      <c r="W410" s="31">
        <v>0</v>
      </c>
      <c r="X410" s="31">
        <v>0</v>
      </c>
      <c r="Y410" s="31">
        <v>0</v>
      </c>
      <c r="Z410" s="31">
        <v>0</v>
      </c>
      <c r="AA410" s="31">
        <v>0</v>
      </c>
      <c r="AB410" s="31">
        <v>0</v>
      </c>
    </row>
    <row r="411" spans="1:28" ht="29.1" customHeight="1" x14ac:dyDescent="0.3">
      <c r="A411" s="5" t="s">
        <v>1250</v>
      </c>
      <c r="B411" s="29" t="s">
        <v>269</v>
      </c>
      <c r="C411" s="5" t="s">
        <v>656</v>
      </c>
      <c r="D411" s="10">
        <v>0.01</v>
      </c>
      <c r="E411" s="28">
        <f>단가대비표!U81</f>
        <v>0</v>
      </c>
      <c r="F411" s="27">
        <f>TRUNC(D411*E411,2)</f>
        <v>0</v>
      </c>
      <c r="G411" s="28">
        <f>단가대비표!V81</f>
        <v>171037</v>
      </c>
      <c r="H411" s="27">
        <f>TRUNC(D411*G411,2)</f>
        <v>1710.37</v>
      </c>
      <c r="I411" s="28">
        <f>단가대비표!AE81</f>
        <v>0</v>
      </c>
      <c r="J411" s="27">
        <f>TRUNC(D411*I411,2)</f>
        <v>0</v>
      </c>
      <c r="K411" s="27">
        <f>E411+G411+I411</f>
        <v>171037</v>
      </c>
      <c r="L411" s="27">
        <f>F411+H411+J411</f>
        <v>1710.37</v>
      </c>
      <c r="M411" s="29" t="s">
        <v>162</v>
      </c>
      <c r="N411" s="7" t="s">
        <v>297</v>
      </c>
      <c r="O411" s="14" t="s">
        <v>40</v>
      </c>
      <c r="P411" s="14" t="s">
        <v>823</v>
      </c>
      <c r="Q411" s="14" t="s">
        <v>823</v>
      </c>
      <c r="R411" s="14" t="s">
        <v>228</v>
      </c>
      <c r="S411" s="31">
        <v>20</v>
      </c>
      <c r="T411" s="14" t="s">
        <v>823</v>
      </c>
      <c r="U411" s="31">
        <v>0</v>
      </c>
      <c r="V411" s="31">
        <v>0</v>
      </c>
      <c r="W411" s="31">
        <v>0</v>
      </c>
      <c r="X411" s="31">
        <v>0</v>
      </c>
      <c r="Y411" s="31">
        <v>0</v>
      </c>
      <c r="Z411" s="31">
        <v>0</v>
      </c>
      <c r="AA411" s="31">
        <v>0</v>
      </c>
      <c r="AB411" s="31">
        <v>0</v>
      </c>
    </row>
    <row r="412" spans="1:28" ht="29.1" customHeight="1" x14ac:dyDescent="0.3">
      <c r="A412" s="5" t="s">
        <v>621</v>
      </c>
      <c r="B412" s="5" t="s">
        <v>823</v>
      </c>
      <c r="C412" s="5" t="s">
        <v>823</v>
      </c>
      <c r="D412" s="5" t="s">
        <v>823</v>
      </c>
      <c r="E412" s="28">
        <v>0</v>
      </c>
      <c r="F412" s="28">
        <f>TRUNC(SUMIF(R410:R411, " ", F410:F411),0)</f>
        <v>0</v>
      </c>
      <c r="G412" s="28">
        <v>0</v>
      </c>
      <c r="H412" s="28">
        <f>TRUNC(SUMIF(R410:R411, " ", H410:H411),0)</f>
        <v>7302</v>
      </c>
      <c r="I412" s="28">
        <v>0</v>
      </c>
      <c r="J412" s="27">
        <f>TRUNC(SUMIF(R410:R411, " ", J410:J411),0)</f>
        <v>0</v>
      </c>
      <c r="K412" s="20" t="s">
        <v>823</v>
      </c>
      <c r="L412" s="28">
        <f>F412+H412+J412</f>
        <v>7302</v>
      </c>
      <c r="M412" s="29"/>
      <c r="N412" s="24" t="s">
        <v>747</v>
      </c>
      <c r="O412" s="4" t="s">
        <v>747</v>
      </c>
    </row>
    <row r="413" spans="1:28" ht="29.1" customHeight="1" x14ac:dyDescent="0.3">
      <c r="A413" s="5" t="s">
        <v>823</v>
      </c>
      <c r="B413" s="5" t="s">
        <v>823</v>
      </c>
      <c r="C413" s="5" t="s">
        <v>823</v>
      </c>
      <c r="D413" s="5" t="s">
        <v>823</v>
      </c>
      <c r="E413" s="5" t="s">
        <v>823</v>
      </c>
      <c r="F413" s="5" t="s">
        <v>823</v>
      </c>
      <c r="G413" s="5" t="s">
        <v>823</v>
      </c>
      <c r="H413" s="5" t="s">
        <v>823</v>
      </c>
      <c r="I413" s="5" t="s">
        <v>823</v>
      </c>
      <c r="J413" s="5" t="s">
        <v>823</v>
      </c>
      <c r="K413" s="5" t="s">
        <v>823</v>
      </c>
      <c r="L413" s="5" t="s">
        <v>823</v>
      </c>
      <c r="M413" s="5" t="s">
        <v>823</v>
      </c>
    </row>
    <row r="414" spans="1:28" ht="29.1" customHeight="1" x14ac:dyDescent="0.3">
      <c r="A414" s="48" t="s">
        <v>299</v>
      </c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50"/>
      <c r="N414" s="7" t="s">
        <v>565</v>
      </c>
    </row>
    <row r="415" spans="1:28" ht="29.1" customHeight="1" x14ac:dyDescent="0.3">
      <c r="A415" s="5" t="s">
        <v>1011</v>
      </c>
      <c r="B415" s="29" t="s">
        <v>1053</v>
      </c>
      <c r="C415" s="5" t="s">
        <v>1086</v>
      </c>
      <c r="D415" s="10">
        <v>2.1600000000000001E-2</v>
      </c>
      <c r="E415" s="28">
        <f>단가대비표!U28</f>
        <v>30000</v>
      </c>
      <c r="F415" s="27">
        <f t="shared" ref="F415:F421" si="72">TRUNC(D415*E415,2)</f>
        <v>648</v>
      </c>
      <c r="G415" s="28">
        <f>단가대비표!V28</f>
        <v>0</v>
      </c>
      <c r="H415" s="27">
        <f t="shared" ref="H415:H421" si="73">TRUNC(D415*G415,2)</f>
        <v>0</v>
      </c>
      <c r="I415" s="28">
        <f>단가대비표!AE28</f>
        <v>0</v>
      </c>
      <c r="J415" s="27">
        <f t="shared" ref="J415:J421" si="74">TRUNC(D415*I415,2)</f>
        <v>0</v>
      </c>
      <c r="K415" s="27">
        <f t="shared" ref="K415:L421" si="75">E415+G415+I415</f>
        <v>30000</v>
      </c>
      <c r="L415" s="27">
        <f t="shared" si="75"/>
        <v>648</v>
      </c>
      <c r="M415" s="29" t="s">
        <v>827</v>
      </c>
      <c r="N415" s="7" t="s">
        <v>565</v>
      </c>
      <c r="O415" s="14" t="s">
        <v>81</v>
      </c>
      <c r="P415" s="14" t="s">
        <v>823</v>
      </c>
      <c r="Q415" s="14" t="s">
        <v>823</v>
      </c>
      <c r="R415" s="14" t="s">
        <v>228</v>
      </c>
      <c r="S415" s="31">
        <v>10</v>
      </c>
      <c r="T415" s="14" t="s">
        <v>823</v>
      </c>
      <c r="U415" s="31">
        <v>0</v>
      </c>
      <c r="V415" s="31">
        <v>0</v>
      </c>
      <c r="W415" s="31">
        <v>0</v>
      </c>
      <c r="X415" s="31">
        <v>0</v>
      </c>
      <c r="Y415" s="31">
        <v>0</v>
      </c>
      <c r="Z415" s="31">
        <v>0</v>
      </c>
      <c r="AA415" s="31">
        <v>0</v>
      </c>
      <c r="AB415" s="31">
        <v>0</v>
      </c>
    </row>
    <row r="416" spans="1:28" ht="29.1" customHeight="1" x14ac:dyDescent="0.3">
      <c r="A416" s="5" t="s">
        <v>1011</v>
      </c>
      <c r="B416" s="29" t="s">
        <v>1171</v>
      </c>
      <c r="C416" s="5" t="s">
        <v>1086</v>
      </c>
      <c r="D416" s="10">
        <v>2.0400000000000001E-2</v>
      </c>
      <c r="E416" s="28">
        <f>단가대비표!U29</f>
        <v>27630</v>
      </c>
      <c r="F416" s="27">
        <f t="shared" si="72"/>
        <v>563.65</v>
      </c>
      <c r="G416" s="28">
        <f>단가대비표!V29</f>
        <v>0</v>
      </c>
      <c r="H416" s="27">
        <f t="shared" si="73"/>
        <v>0</v>
      </c>
      <c r="I416" s="28">
        <f>단가대비표!AE29</f>
        <v>0</v>
      </c>
      <c r="J416" s="27">
        <f t="shared" si="74"/>
        <v>0</v>
      </c>
      <c r="K416" s="27">
        <f t="shared" si="75"/>
        <v>27630</v>
      </c>
      <c r="L416" s="27">
        <f t="shared" si="75"/>
        <v>563.65</v>
      </c>
      <c r="M416" s="29" t="s">
        <v>1309</v>
      </c>
      <c r="N416" s="7" t="s">
        <v>565</v>
      </c>
      <c r="O416" s="14" t="s">
        <v>950</v>
      </c>
      <c r="P416" s="14" t="s">
        <v>823</v>
      </c>
      <c r="Q416" s="14" t="s">
        <v>823</v>
      </c>
      <c r="R416" s="14" t="s">
        <v>228</v>
      </c>
      <c r="S416" s="31">
        <v>20</v>
      </c>
      <c r="T416" s="14" t="s">
        <v>823</v>
      </c>
      <c r="U416" s="31">
        <v>0</v>
      </c>
      <c r="V416" s="31">
        <v>0</v>
      </c>
      <c r="W416" s="31">
        <v>0</v>
      </c>
      <c r="X416" s="31">
        <v>0</v>
      </c>
      <c r="Y416" s="31">
        <v>0</v>
      </c>
      <c r="Z416" s="31">
        <v>0</v>
      </c>
      <c r="AA416" s="31">
        <v>0</v>
      </c>
      <c r="AB416" s="31">
        <v>0</v>
      </c>
    </row>
    <row r="417" spans="1:28" ht="29.1" customHeight="1" x14ac:dyDescent="0.3">
      <c r="A417" s="5" t="s">
        <v>1011</v>
      </c>
      <c r="B417" s="29" t="s">
        <v>1057</v>
      </c>
      <c r="C417" s="5" t="s">
        <v>1086</v>
      </c>
      <c r="D417" s="10">
        <v>4.0800000000000003E-2</v>
      </c>
      <c r="E417" s="28">
        <f>단가대비표!U30</f>
        <v>9209</v>
      </c>
      <c r="F417" s="27">
        <f t="shared" si="72"/>
        <v>375.72</v>
      </c>
      <c r="G417" s="28">
        <f>단가대비표!V30</f>
        <v>0</v>
      </c>
      <c r="H417" s="27">
        <f t="shared" si="73"/>
        <v>0</v>
      </c>
      <c r="I417" s="28">
        <f>단가대비표!AE30</f>
        <v>0</v>
      </c>
      <c r="J417" s="27">
        <f t="shared" si="74"/>
        <v>0</v>
      </c>
      <c r="K417" s="27">
        <f t="shared" si="75"/>
        <v>9209</v>
      </c>
      <c r="L417" s="27">
        <f t="shared" si="75"/>
        <v>375.72</v>
      </c>
      <c r="M417" s="29" t="s">
        <v>258</v>
      </c>
      <c r="N417" s="7" t="s">
        <v>565</v>
      </c>
      <c r="O417" s="14" t="s">
        <v>597</v>
      </c>
      <c r="P417" s="14" t="s">
        <v>823</v>
      </c>
      <c r="Q417" s="14" t="s">
        <v>823</v>
      </c>
      <c r="R417" s="14" t="s">
        <v>228</v>
      </c>
      <c r="S417" s="31">
        <v>30</v>
      </c>
      <c r="T417" s="14" t="s">
        <v>823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</row>
    <row r="418" spans="1:28" ht="29.1" customHeight="1" x14ac:dyDescent="0.3">
      <c r="A418" s="5" t="s">
        <v>1011</v>
      </c>
      <c r="B418" s="29" t="s">
        <v>22</v>
      </c>
      <c r="C418" s="5" t="s">
        <v>1086</v>
      </c>
      <c r="D418" s="10">
        <v>3.5999999999999999E-3</v>
      </c>
      <c r="E418" s="28">
        <f>단가대비표!U31</f>
        <v>4000</v>
      </c>
      <c r="F418" s="27">
        <f t="shared" si="72"/>
        <v>14.4</v>
      </c>
      <c r="G418" s="28">
        <f>단가대비표!V31</f>
        <v>0</v>
      </c>
      <c r="H418" s="27">
        <f t="shared" si="73"/>
        <v>0</v>
      </c>
      <c r="I418" s="28">
        <f>단가대비표!AE31</f>
        <v>0</v>
      </c>
      <c r="J418" s="27">
        <f t="shared" si="74"/>
        <v>0</v>
      </c>
      <c r="K418" s="27">
        <f t="shared" si="75"/>
        <v>4000</v>
      </c>
      <c r="L418" s="27">
        <f t="shared" si="75"/>
        <v>14.4</v>
      </c>
      <c r="M418" s="29" t="s">
        <v>79</v>
      </c>
      <c r="N418" s="7" t="s">
        <v>565</v>
      </c>
      <c r="O418" s="14" t="s">
        <v>160</v>
      </c>
      <c r="P418" s="14" t="s">
        <v>823</v>
      </c>
      <c r="Q418" s="14" t="s">
        <v>823</v>
      </c>
      <c r="R418" s="14" t="s">
        <v>228</v>
      </c>
      <c r="S418" s="31">
        <v>40</v>
      </c>
      <c r="T418" s="14" t="s">
        <v>823</v>
      </c>
      <c r="U418" s="31">
        <v>0</v>
      </c>
      <c r="V418" s="31">
        <v>0</v>
      </c>
      <c r="W418" s="31">
        <v>0</v>
      </c>
      <c r="X418" s="31">
        <v>0</v>
      </c>
      <c r="Y418" s="31">
        <v>0</v>
      </c>
      <c r="Z418" s="31">
        <v>0</v>
      </c>
      <c r="AA418" s="31">
        <v>0</v>
      </c>
      <c r="AB418" s="31">
        <v>0</v>
      </c>
    </row>
    <row r="419" spans="1:28" ht="29.1" customHeight="1" x14ac:dyDescent="0.3">
      <c r="A419" s="5" t="s">
        <v>1011</v>
      </c>
      <c r="B419" s="29" t="s">
        <v>999</v>
      </c>
      <c r="C419" s="5" t="s">
        <v>1086</v>
      </c>
      <c r="D419" s="10">
        <v>8.1600000000000006E-2</v>
      </c>
      <c r="E419" s="28">
        <f>단가대비표!U32</f>
        <v>0</v>
      </c>
      <c r="F419" s="27">
        <f t="shared" si="72"/>
        <v>0</v>
      </c>
      <c r="G419" s="28">
        <f>단가대비표!V32</f>
        <v>0</v>
      </c>
      <c r="H419" s="27">
        <f t="shared" si="73"/>
        <v>0</v>
      </c>
      <c r="I419" s="28">
        <f>단가대비표!AE32</f>
        <v>0</v>
      </c>
      <c r="J419" s="27">
        <f t="shared" si="74"/>
        <v>0</v>
      </c>
      <c r="K419" s="27">
        <f t="shared" si="75"/>
        <v>0</v>
      </c>
      <c r="L419" s="27">
        <f t="shared" si="75"/>
        <v>0</v>
      </c>
      <c r="M419" s="29" t="s">
        <v>106</v>
      </c>
      <c r="N419" s="7" t="s">
        <v>565</v>
      </c>
      <c r="O419" s="14" t="s">
        <v>251</v>
      </c>
      <c r="P419" s="14" t="s">
        <v>823</v>
      </c>
      <c r="Q419" s="14" t="s">
        <v>823</v>
      </c>
      <c r="R419" s="14" t="s">
        <v>228</v>
      </c>
      <c r="S419" s="31">
        <v>50</v>
      </c>
      <c r="T419" s="14" t="s">
        <v>823</v>
      </c>
      <c r="U419" s="31">
        <v>0</v>
      </c>
      <c r="V419" s="31">
        <v>0</v>
      </c>
      <c r="W419" s="31">
        <v>0</v>
      </c>
      <c r="X419" s="31">
        <v>0</v>
      </c>
      <c r="Y419" s="31">
        <v>0</v>
      </c>
      <c r="Z419" s="31">
        <v>0</v>
      </c>
      <c r="AA419" s="31">
        <v>0</v>
      </c>
      <c r="AB419" s="31">
        <v>0</v>
      </c>
    </row>
    <row r="420" spans="1:28" ht="29.1" customHeight="1" x14ac:dyDescent="0.3">
      <c r="A420" s="5" t="s">
        <v>1011</v>
      </c>
      <c r="B420" s="29" t="s">
        <v>954</v>
      </c>
      <c r="C420" s="5" t="s">
        <v>1086</v>
      </c>
      <c r="D420" s="10">
        <v>0.04</v>
      </c>
      <c r="E420" s="28">
        <f>단가대비표!U27</f>
        <v>900</v>
      </c>
      <c r="F420" s="27">
        <f t="shared" si="72"/>
        <v>36</v>
      </c>
      <c r="G420" s="28">
        <f>단가대비표!V27</f>
        <v>0</v>
      </c>
      <c r="H420" s="27">
        <f t="shared" si="73"/>
        <v>0</v>
      </c>
      <c r="I420" s="28">
        <f>단가대비표!AE27</f>
        <v>0</v>
      </c>
      <c r="J420" s="27">
        <f t="shared" si="74"/>
        <v>0</v>
      </c>
      <c r="K420" s="27">
        <f t="shared" si="75"/>
        <v>900</v>
      </c>
      <c r="L420" s="27">
        <f t="shared" si="75"/>
        <v>36</v>
      </c>
      <c r="M420" s="29" t="s">
        <v>370</v>
      </c>
      <c r="N420" s="7" t="s">
        <v>565</v>
      </c>
      <c r="O420" s="14" t="s">
        <v>475</v>
      </c>
      <c r="P420" s="14" t="s">
        <v>823</v>
      </c>
      <c r="Q420" s="14" t="s">
        <v>823</v>
      </c>
      <c r="R420" s="14" t="s">
        <v>228</v>
      </c>
      <c r="S420" s="31">
        <v>60</v>
      </c>
      <c r="T420" s="14" t="s">
        <v>823</v>
      </c>
      <c r="U420" s="31">
        <v>0</v>
      </c>
      <c r="V420" s="31">
        <v>0</v>
      </c>
      <c r="W420" s="31">
        <v>0</v>
      </c>
      <c r="X420" s="31">
        <v>0</v>
      </c>
      <c r="Y420" s="31">
        <v>0</v>
      </c>
      <c r="Z420" s="31">
        <v>0</v>
      </c>
      <c r="AA420" s="31">
        <v>0</v>
      </c>
      <c r="AB420" s="31">
        <v>0</v>
      </c>
    </row>
    <row r="421" spans="1:28" ht="29.1" customHeight="1" x14ac:dyDescent="0.3">
      <c r="A421" s="5" t="s">
        <v>1094</v>
      </c>
      <c r="B421" s="29" t="s">
        <v>247</v>
      </c>
      <c r="C421" s="5" t="s">
        <v>1004</v>
      </c>
      <c r="D421" s="10">
        <v>1</v>
      </c>
      <c r="E421" s="28">
        <f>일위대가목록!E65</f>
        <v>0</v>
      </c>
      <c r="F421" s="27">
        <f t="shared" si="72"/>
        <v>0</v>
      </c>
      <c r="G421" s="28">
        <f>일위대가목록!F65</f>
        <v>7302</v>
      </c>
      <c r="H421" s="27">
        <f t="shared" si="73"/>
        <v>7302</v>
      </c>
      <c r="I421" s="28">
        <f>일위대가목록!G65</f>
        <v>0</v>
      </c>
      <c r="J421" s="27">
        <f t="shared" si="74"/>
        <v>0</v>
      </c>
      <c r="K421" s="27">
        <f t="shared" si="75"/>
        <v>7302</v>
      </c>
      <c r="L421" s="27">
        <f t="shared" si="75"/>
        <v>7302</v>
      </c>
      <c r="M421" s="29" t="s">
        <v>222</v>
      </c>
      <c r="N421" s="7" t="s">
        <v>565</v>
      </c>
      <c r="O421" s="14" t="s">
        <v>297</v>
      </c>
      <c r="P421" s="14" t="s">
        <v>823</v>
      </c>
      <c r="Q421" s="14" t="s">
        <v>823</v>
      </c>
      <c r="R421" s="14" t="s">
        <v>228</v>
      </c>
      <c r="S421" s="31">
        <v>80</v>
      </c>
      <c r="T421" s="14" t="s">
        <v>823</v>
      </c>
      <c r="U421" s="31">
        <v>0</v>
      </c>
      <c r="V421" s="31">
        <v>0</v>
      </c>
      <c r="W421" s="31">
        <v>0</v>
      </c>
      <c r="X421" s="31">
        <v>0</v>
      </c>
      <c r="Y421" s="31">
        <v>0</v>
      </c>
      <c r="Z421" s="31">
        <v>0</v>
      </c>
      <c r="AA421" s="31">
        <v>0</v>
      </c>
      <c r="AB421" s="31">
        <v>0</v>
      </c>
    </row>
    <row r="422" spans="1:28" ht="29.1" customHeight="1" x14ac:dyDescent="0.3">
      <c r="A422" s="5" t="s">
        <v>621</v>
      </c>
      <c r="B422" s="5" t="s">
        <v>823</v>
      </c>
      <c r="C422" s="5" t="s">
        <v>823</v>
      </c>
      <c r="D422" s="5" t="s">
        <v>823</v>
      </c>
      <c r="E422" s="28">
        <v>0</v>
      </c>
      <c r="F422" s="28">
        <f>TRUNC(SUMIF(R415:R421, " ", F415:F421),0)</f>
        <v>1637</v>
      </c>
      <c r="G422" s="28">
        <v>0</v>
      </c>
      <c r="H422" s="28">
        <f>TRUNC(SUMIF(R415:R421, " ", H415:H421),0)</f>
        <v>7302</v>
      </c>
      <c r="I422" s="28">
        <v>0</v>
      </c>
      <c r="J422" s="27">
        <f>TRUNC(SUMIF(R415:R421, " ", J415:J421),0)</f>
        <v>0</v>
      </c>
      <c r="K422" s="20" t="s">
        <v>823</v>
      </c>
      <c r="L422" s="28">
        <f>F422+H422+J422</f>
        <v>8939</v>
      </c>
      <c r="M422" s="29"/>
      <c r="N422" s="24" t="s">
        <v>747</v>
      </c>
      <c r="O422" s="4" t="s">
        <v>747</v>
      </c>
    </row>
    <row r="423" spans="1:28" ht="29.1" customHeight="1" x14ac:dyDescent="0.3">
      <c r="A423" s="5" t="s">
        <v>823</v>
      </c>
      <c r="B423" s="5" t="s">
        <v>823</v>
      </c>
      <c r="C423" s="5" t="s">
        <v>823</v>
      </c>
      <c r="D423" s="5" t="s">
        <v>823</v>
      </c>
      <c r="E423" s="5" t="s">
        <v>823</v>
      </c>
      <c r="F423" s="5" t="s">
        <v>823</v>
      </c>
      <c r="G423" s="5" t="s">
        <v>823</v>
      </c>
      <c r="H423" s="5" t="s">
        <v>823</v>
      </c>
      <c r="I423" s="5" t="s">
        <v>823</v>
      </c>
      <c r="J423" s="5" t="s">
        <v>823</v>
      </c>
      <c r="K423" s="5" t="s">
        <v>823</v>
      </c>
      <c r="L423" s="5" t="s">
        <v>823</v>
      </c>
      <c r="M423" s="5" t="s">
        <v>823</v>
      </c>
    </row>
    <row r="424" spans="1:28" ht="29.1" customHeight="1" x14ac:dyDescent="0.3">
      <c r="A424" s="48" t="s">
        <v>781</v>
      </c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50"/>
      <c r="N424" s="7" t="s">
        <v>1235</v>
      </c>
    </row>
    <row r="425" spans="1:28" ht="29.1" customHeight="1" x14ac:dyDescent="0.3">
      <c r="A425" s="5" t="s">
        <v>556</v>
      </c>
      <c r="B425" s="29" t="s">
        <v>269</v>
      </c>
      <c r="C425" s="5" t="s">
        <v>656</v>
      </c>
      <c r="D425" s="10">
        <v>5.0000000000000001E-3</v>
      </c>
      <c r="E425" s="28">
        <f>단가대비표!U90</f>
        <v>0</v>
      </c>
      <c r="F425" s="27">
        <f>TRUNC(D425*E425,2)</f>
        <v>0</v>
      </c>
      <c r="G425" s="28">
        <f>단가대비표!V90</f>
        <v>258362</v>
      </c>
      <c r="H425" s="27">
        <f>TRUNC(D425*G425,2)</f>
        <v>1291.81</v>
      </c>
      <c r="I425" s="28">
        <f>단가대비표!AE90</f>
        <v>0</v>
      </c>
      <c r="J425" s="27">
        <f>TRUNC(D425*I425,2)</f>
        <v>0</v>
      </c>
      <c r="K425" s="27">
        <f t="shared" ref="K425:L427" si="76">E425+G425+I425</f>
        <v>258362</v>
      </c>
      <c r="L425" s="27">
        <f t="shared" si="76"/>
        <v>1291.81</v>
      </c>
      <c r="M425" s="29" t="s">
        <v>355</v>
      </c>
      <c r="N425" s="7" t="s">
        <v>1235</v>
      </c>
      <c r="O425" s="14" t="s">
        <v>337</v>
      </c>
      <c r="P425" s="14" t="s">
        <v>823</v>
      </c>
      <c r="Q425" s="14" t="s">
        <v>823</v>
      </c>
      <c r="R425" s="14" t="s">
        <v>228</v>
      </c>
      <c r="S425" s="31">
        <v>10</v>
      </c>
      <c r="T425" s="14" t="s">
        <v>823</v>
      </c>
      <c r="U425" s="31">
        <v>0</v>
      </c>
      <c r="V425" s="31">
        <v>1</v>
      </c>
      <c r="W425" s="31">
        <v>0</v>
      </c>
      <c r="X425" s="31">
        <v>0</v>
      </c>
      <c r="Y425" s="31">
        <v>0</v>
      </c>
      <c r="Z425" s="31">
        <v>0</v>
      </c>
      <c r="AA425" s="31">
        <v>0</v>
      </c>
      <c r="AB425" s="31">
        <v>0</v>
      </c>
    </row>
    <row r="426" spans="1:28" ht="29.1" customHeight="1" x14ac:dyDescent="0.3">
      <c r="A426" s="5" t="s">
        <v>1250</v>
      </c>
      <c r="B426" s="29" t="s">
        <v>269</v>
      </c>
      <c r="C426" s="5" t="s">
        <v>656</v>
      </c>
      <c r="D426" s="10">
        <v>1E-3</v>
      </c>
      <c r="E426" s="28">
        <f>단가대비표!U81</f>
        <v>0</v>
      </c>
      <c r="F426" s="27">
        <f>TRUNC(D426*E426,2)</f>
        <v>0</v>
      </c>
      <c r="G426" s="28">
        <f>단가대비표!V81</f>
        <v>171037</v>
      </c>
      <c r="H426" s="27">
        <f>TRUNC(D426*G426,2)</f>
        <v>171.03</v>
      </c>
      <c r="I426" s="28">
        <f>단가대비표!AE81</f>
        <v>0</v>
      </c>
      <c r="J426" s="27">
        <f>TRUNC(D426*I426,2)</f>
        <v>0</v>
      </c>
      <c r="K426" s="27">
        <f t="shared" si="76"/>
        <v>171037</v>
      </c>
      <c r="L426" s="27">
        <f t="shared" si="76"/>
        <v>171.03</v>
      </c>
      <c r="M426" s="29" t="s">
        <v>162</v>
      </c>
      <c r="N426" s="7" t="s">
        <v>1235</v>
      </c>
      <c r="O426" s="14" t="s">
        <v>40</v>
      </c>
      <c r="P426" s="14" t="s">
        <v>823</v>
      </c>
      <c r="Q426" s="14" t="s">
        <v>823</v>
      </c>
      <c r="R426" s="14" t="s">
        <v>228</v>
      </c>
      <c r="S426" s="31">
        <v>20</v>
      </c>
      <c r="T426" s="14" t="s">
        <v>823</v>
      </c>
      <c r="U426" s="31">
        <v>0</v>
      </c>
      <c r="V426" s="31">
        <v>1</v>
      </c>
      <c r="W426" s="31">
        <v>0</v>
      </c>
      <c r="X426" s="31">
        <v>0</v>
      </c>
      <c r="Y426" s="31">
        <v>0</v>
      </c>
      <c r="Z426" s="31">
        <v>0</v>
      </c>
      <c r="AA426" s="31">
        <v>0</v>
      </c>
      <c r="AB426" s="31">
        <v>0</v>
      </c>
    </row>
    <row r="427" spans="1:28" ht="29.1" customHeight="1" x14ac:dyDescent="0.3">
      <c r="A427" s="5" t="s">
        <v>707</v>
      </c>
      <c r="B427" s="29" t="s">
        <v>361</v>
      </c>
      <c r="C427" s="5" t="s">
        <v>136</v>
      </c>
      <c r="D427" s="10">
        <v>1</v>
      </c>
      <c r="E427" s="27">
        <f>TRUNC(SUMIF(V425:V427, RIGHTB(O427, 1), H425:H427)*U427, 2)</f>
        <v>43.88</v>
      </c>
      <c r="F427" s="27">
        <f>TRUNC(D427*E427,2)</f>
        <v>43.88</v>
      </c>
      <c r="G427" s="27">
        <v>0</v>
      </c>
      <c r="H427" s="27">
        <f>TRUNC(D427*G427,2)</f>
        <v>0</v>
      </c>
      <c r="I427" s="27">
        <v>0</v>
      </c>
      <c r="J427" s="27">
        <f>TRUNC(D427*I427,2)</f>
        <v>0</v>
      </c>
      <c r="K427" s="27">
        <f t="shared" si="76"/>
        <v>43.88</v>
      </c>
      <c r="L427" s="27">
        <f t="shared" si="76"/>
        <v>43.88</v>
      </c>
      <c r="M427" s="29"/>
      <c r="N427" s="7" t="s">
        <v>1235</v>
      </c>
      <c r="O427" s="14" t="s">
        <v>572</v>
      </c>
      <c r="P427" s="14" t="s">
        <v>823</v>
      </c>
      <c r="Q427" s="14" t="s">
        <v>823</v>
      </c>
      <c r="R427" s="14" t="s">
        <v>228</v>
      </c>
      <c r="S427" s="31">
        <v>30</v>
      </c>
      <c r="T427" s="14" t="s">
        <v>457</v>
      </c>
      <c r="U427" s="31">
        <v>0.03</v>
      </c>
      <c r="V427" s="31">
        <v>0</v>
      </c>
      <c r="W427" s="31">
        <v>0</v>
      </c>
      <c r="X427" s="31">
        <v>0</v>
      </c>
      <c r="Y427" s="31">
        <v>0</v>
      </c>
      <c r="Z427" s="31">
        <v>0</v>
      </c>
      <c r="AA427" s="31">
        <v>0</v>
      </c>
      <c r="AB427" s="31">
        <v>0</v>
      </c>
    </row>
    <row r="428" spans="1:28" ht="29.1" customHeight="1" x14ac:dyDescent="0.3">
      <c r="A428" s="5" t="s">
        <v>621</v>
      </c>
      <c r="B428" s="5" t="s">
        <v>823</v>
      </c>
      <c r="C428" s="5" t="s">
        <v>823</v>
      </c>
      <c r="D428" s="5" t="s">
        <v>823</v>
      </c>
      <c r="E428" s="28">
        <v>0</v>
      </c>
      <c r="F428" s="28">
        <f>TRUNC(SUMIF(R425:R427, " ", F425:F427),0)</f>
        <v>43</v>
      </c>
      <c r="G428" s="28">
        <v>0</v>
      </c>
      <c r="H428" s="28">
        <f>TRUNC(SUMIF(R425:R427, " ", H425:H427),0)</f>
        <v>1462</v>
      </c>
      <c r="I428" s="28">
        <v>0</v>
      </c>
      <c r="J428" s="27">
        <f>TRUNC(SUMIF(R425:R427, " ", J425:J427),0)</f>
        <v>0</v>
      </c>
      <c r="K428" s="20" t="s">
        <v>823</v>
      </c>
      <c r="L428" s="28">
        <f>F428+H428+J428</f>
        <v>1505</v>
      </c>
      <c r="M428" s="29"/>
      <c r="N428" s="24" t="s">
        <v>747</v>
      </c>
      <c r="O428" s="4" t="s">
        <v>747</v>
      </c>
    </row>
    <row r="429" spans="1:28" ht="29.1" customHeight="1" x14ac:dyDescent="0.3">
      <c r="A429" s="5" t="s">
        <v>823</v>
      </c>
      <c r="B429" s="5" t="s">
        <v>823</v>
      </c>
      <c r="C429" s="5" t="s">
        <v>823</v>
      </c>
      <c r="D429" s="5" t="s">
        <v>823</v>
      </c>
      <c r="E429" s="5" t="s">
        <v>823</v>
      </c>
      <c r="F429" s="5" t="s">
        <v>823</v>
      </c>
      <c r="G429" s="5" t="s">
        <v>823</v>
      </c>
      <c r="H429" s="5" t="s">
        <v>823</v>
      </c>
      <c r="I429" s="5" t="s">
        <v>823</v>
      </c>
      <c r="J429" s="5" t="s">
        <v>823</v>
      </c>
      <c r="K429" s="5" t="s">
        <v>823</v>
      </c>
      <c r="L429" s="5" t="s">
        <v>823</v>
      </c>
      <c r="M429" s="5" t="s">
        <v>823</v>
      </c>
    </row>
    <row r="430" spans="1:28" ht="29.1" customHeight="1" x14ac:dyDescent="0.3">
      <c r="A430" s="48" t="s">
        <v>63</v>
      </c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50"/>
      <c r="N430" s="7" t="s">
        <v>504</v>
      </c>
    </row>
    <row r="431" spans="1:28" ht="29.1" customHeight="1" x14ac:dyDescent="0.3">
      <c r="A431" s="5" t="s">
        <v>1314</v>
      </c>
      <c r="B431" s="29" t="s">
        <v>1295</v>
      </c>
      <c r="C431" s="5" t="s">
        <v>1004</v>
      </c>
      <c r="D431" s="10">
        <v>1</v>
      </c>
      <c r="E431" s="28">
        <f>일위대가목록!E67</f>
        <v>43</v>
      </c>
      <c r="F431" s="27">
        <f>TRUNC(D431*E431,2)</f>
        <v>43</v>
      </c>
      <c r="G431" s="28">
        <f>일위대가목록!F67</f>
        <v>1462</v>
      </c>
      <c r="H431" s="27">
        <f>TRUNC(D431*G431,2)</f>
        <v>1462</v>
      </c>
      <c r="I431" s="28">
        <f>일위대가목록!G67</f>
        <v>0</v>
      </c>
      <c r="J431" s="27">
        <f>TRUNC(D431*I431,2)</f>
        <v>0</v>
      </c>
      <c r="K431" s="27">
        <f>E431+G431+I431</f>
        <v>1505</v>
      </c>
      <c r="L431" s="27">
        <f>F431+H431+J431</f>
        <v>1505</v>
      </c>
      <c r="M431" s="29" t="s">
        <v>635</v>
      </c>
      <c r="N431" s="7" t="s">
        <v>504</v>
      </c>
      <c r="O431" s="14" t="s">
        <v>1235</v>
      </c>
      <c r="P431" s="14" t="s">
        <v>823</v>
      </c>
      <c r="Q431" s="14" t="s">
        <v>823</v>
      </c>
      <c r="R431" s="14" t="s">
        <v>228</v>
      </c>
      <c r="S431" s="31">
        <v>10</v>
      </c>
      <c r="T431" s="14" t="s">
        <v>823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</row>
    <row r="432" spans="1:28" ht="29.1" customHeight="1" x14ac:dyDescent="0.3">
      <c r="A432" s="5" t="s">
        <v>192</v>
      </c>
      <c r="B432" s="29" t="s">
        <v>396</v>
      </c>
      <c r="C432" s="5" t="s">
        <v>1004</v>
      </c>
      <c r="D432" s="10">
        <v>1</v>
      </c>
      <c r="E432" s="28">
        <f>일위대가목록!E69</f>
        <v>250</v>
      </c>
      <c r="F432" s="27">
        <f>TRUNC(D432*E432,2)</f>
        <v>250</v>
      </c>
      <c r="G432" s="28">
        <f>일위대가목록!F69</f>
        <v>0</v>
      </c>
      <c r="H432" s="27">
        <f>TRUNC(D432*G432,2)</f>
        <v>0</v>
      </c>
      <c r="I432" s="28">
        <f>일위대가목록!G69</f>
        <v>0</v>
      </c>
      <c r="J432" s="27">
        <f>TRUNC(D432*I432,2)</f>
        <v>0</v>
      </c>
      <c r="K432" s="27">
        <f>E432+G432+I432</f>
        <v>250</v>
      </c>
      <c r="L432" s="27">
        <f>F432+H432+J432</f>
        <v>250</v>
      </c>
      <c r="M432" s="29" t="s">
        <v>837</v>
      </c>
      <c r="N432" s="7" t="s">
        <v>504</v>
      </c>
      <c r="O432" s="14" t="s">
        <v>410</v>
      </c>
      <c r="P432" s="14" t="s">
        <v>823</v>
      </c>
      <c r="Q432" s="14" t="s">
        <v>823</v>
      </c>
      <c r="R432" s="14" t="s">
        <v>228</v>
      </c>
      <c r="S432" s="31">
        <v>20</v>
      </c>
      <c r="T432" s="14" t="s">
        <v>823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1">
        <v>0</v>
      </c>
      <c r="AA432" s="31">
        <v>0</v>
      </c>
      <c r="AB432" s="31">
        <v>0</v>
      </c>
    </row>
    <row r="433" spans="1:28" ht="29.1" customHeight="1" x14ac:dyDescent="0.3">
      <c r="A433" s="5" t="s">
        <v>621</v>
      </c>
      <c r="B433" s="5" t="s">
        <v>823</v>
      </c>
      <c r="C433" s="5" t="s">
        <v>823</v>
      </c>
      <c r="D433" s="5" t="s">
        <v>823</v>
      </c>
      <c r="E433" s="28">
        <v>0</v>
      </c>
      <c r="F433" s="28">
        <f>TRUNC(SUMIF(R431:R432, " ", F431:F432),0)</f>
        <v>293</v>
      </c>
      <c r="G433" s="28">
        <v>0</v>
      </c>
      <c r="H433" s="28">
        <f>TRUNC(SUMIF(R431:R432, " ", H431:H432),0)</f>
        <v>1462</v>
      </c>
      <c r="I433" s="28">
        <v>0</v>
      </c>
      <c r="J433" s="27">
        <f>TRUNC(SUMIF(R431:R432, " ", J431:J432),0)</f>
        <v>0</v>
      </c>
      <c r="K433" s="20" t="s">
        <v>823</v>
      </c>
      <c r="L433" s="28">
        <f>F433+H433+J433</f>
        <v>1755</v>
      </c>
      <c r="M433" s="29"/>
      <c r="N433" s="24" t="s">
        <v>747</v>
      </c>
      <c r="O433" s="4" t="s">
        <v>747</v>
      </c>
    </row>
    <row r="434" spans="1:28" ht="29.1" customHeight="1" x14ac:dyDescent="0.3">
      <c r="A434" s="5" t="s">
        <v>823</v>
      </c>
      <c r="B434" s="5" t="s">
        <v>823</v>
      </c>
      <c r="C434" s="5" t="s">
        <v>823</v>
      </c>
      <c r="D434" s="5" t="s">
        <v>823</v>
      </c>
      <c r="E434" s="5" t="s">
        <v>823</v>
      </c>
      <c r="F434" s="5" t="s">
        <v>823</v>
      </c>
      <c r="G434" s="5" t="s">
        <v>823</v>
      </c>
      <c r="H434" s="5" t="s">
        <v>823</v>
      </c>
      <c r="I434" s="5" t="s">
        <v>823</v>
      </c>
      <c r="J434" s="5" t="s">
        <v>823</v>
      </c>
      <c r="K434" s="5" t="s">
        <v>823</v>
      </c>
      <c r="L434" s="5" t="s">
        <v>823</v>
      </c>
      <c r="M434" s="5" t="s">
        <v>823</v>
      </c>
    </row>
    <row r="435" spans="1:28" ht="29.1" customHeight="1" x14ac:dyDescent="0.3">
      <c r="A435" s="48" t="s">
        <v>929</v>
      </c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50"/>
      <c r="N435" s="7" t="s">
        <v>410</v>
      </c>
    </row>
    <row r="436" spans="1:28" ht="29.1" customHeight="1" x14ac:dyDescent="0.3">
      <c r="A436" s="5" t="s">
        <v>308</v>
      </c>
      <c r="B436" s="29" t="s">
        <v>911</v>
      </c>
      <c r="C436" s="5" t="s">
        <v>1224</v>
      </c>
      <c r="D436" s="10">
        <v>0.08</v>
      </c>
      <c r="E436" s="28">
        <f>단가대비표!U63</f>
        <v>3125.44</v>
      </c>
      <c r="F436" s="27">
        <f>TRUNC(D436*E436,2)</f>
        <v>250.03</v>
      </c>
      <c r="G436" s="28">
        <f>단가대비표!V63</f>
        <v>0</v>
      </c>
      <c r="H436" s="27">
        <f>TRUNC(D436*G436,2)</f>
        <v>0</v>
      </c>
      <c r="I436" s="28">
        <f>단가대비표!AE63</f>
        <v>0</v>
      </c>
      <c r="J436" s="27">
        <f>TRUNC(D436*I436,2)</f>
        <v>0</v>
      </c>
      <c r="K436" s="27">
        <f>E436+G436+I436</f>
        <v>3125.44</v>
      </c>
      <c r="L436" s="27">
        <f>F436+H436+J436</f>
        <v>250.03</v>
      </c>
      <c r="M436" s="29" t="s">
        <v>1111</v>
      </c>
      <c r="N436" s="7" t="s">
        <v>410</v>
      </c>
      <c r="O436" s="14" t="s">
        <v>1006</v>
      </c>
      <c r="P436" s="14" t="s">
        <v>823</v>
      </c>
      <c r="Q436" s="14" t="s">
        <v>823</v>
      </c>
      <c r="R436" s="14" t="s">
        <v>228</v>
      </c>
      <c r="S436" s="31">
        <v>10</v>
      </c>
      <c r="T436" s="14" t="s">
        <v>823</v>
      </c>
      <c r="U436" s="31">
        <v>0</v>
      </c>
      <c r="V436" s="31">
        <v>0</v>
      </c>
      <c r="W436" s="31">
        <v>0</v>
      </c>
      <c r="X436" s="31">
        <v>0</v>
      </c>
      <c r="Y436" s="31">
        <v>0</v>
      </c>
      <c r="Z436" s="31">
        <v>0</v>
      </c>
      <c r="AA436" s="31">
        <v>0</v>
      </c>
      <c r="AB436" s="31">
        <v>0</v>
      </c>
    </row>
    <row r="437" spans="1:28" ht="29.1" customHeight="1" x14ac:dyDescent="0.3">
      <c r="A437" s="5" t="s">
        <v>621</v>
      </c>
      <c r="B437" s="5" t="s">
        <v>823</v>
      </c>
      <c r="C437" s="5" t="s">
        <v>823</v>
      </c>
      <c r="D437" s="5" t="s">
        <v>823</v>
      </c>
      <c r="E437" s="28">
        <v>0</v>
      </c>
      <c r="F437" s="28">
        <f>TRUNC(SUMIF(R436:R436, " ", F436:F436),0)</f>
        <v>250</v>
      </c>
      <c r="G437" s="28">
        <v>0</v>
      </c>
      <c r="H437" s="28">
        <f>TRUNC(SUMIF(R436:R436, " ", H436:H436),0)</f>
        <v>0</v>
      </c>
      <c r="I437" s="28">
        <v>0</v>
      </c>
      <c r="J437" s="27">
        <f>TRUNC(SUMIF(R436:R436, " ", J436:J436),0)</f>
        <v>0</v>
      </c>
      <c r="K437" s="20" t="s">
        <v>823</v>
      </c>
      <c r="L437" s="28">
        <f>F437+H437+J437</f>
        <v>250</v>
      </c>
      <c r="M437" s="29"/>
      <c r="N437" s="24" t="s">
        <v>747</v>
      </c>
      <c r="O437" s="4" t="s">
        <v>747</v>
      </c>
    </row>
    <row r="438" spans="1:28" ht="29.1" customHeight="1" x14ac:dyDescent="0.3">
      <c r="A438" s="5" t="s">
        <v>823</v>
      </c>
      <c r="B438" s="5" t="s">
        <v>823</v>
      </c>
      <c r="C438" s="5" t="s">
        <v>823</v>
      </c>
      <c r="D438" s="5" t="s">
        <v>823</v>
      </c>
      <c r="E438" s="5" t="s">
        <v>823</v>
      </c>
      <c r="F438" s="5" t="s">
        <v>823</v>
      </c>
      <c r="G438" s="5" t="s">
        <v>823</v>
      </c>
      <c r="H438" s="5" t="s">
        <v>823</v>
      </c>
      <c r="I438" s="5" t="s">
        <v>823</v>
      </c>
      <c r="J438" s="5" t="s">
        <v>823</v>
      </c>
      <c r="K438" s="5" t="s">
        <v>823</v>
      </c>
      <c r="L438" s="5" t="s">
        <v>823</v>
      </c>
      <c r="M438" s="5" t="s">
        <v>823</v>
      </c>
    </row>
    <row r="439" spans="1:28" ht="29.1" customHeight="1" x14ac:dyDescent="0.3">
      <c r="A439" s="48" t="s">
        <v>603</v>
      </c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50"/>
      <c r="N439" s="7" t="s">
        <v>1189</v>
      </c>
    </row>
    <row r="440" spans="1:28" ht="29.1" customHeight="1" x14ac:dyDescent="0.3">
      <c r="A440" s="5" t="s">
        <v>1003</v>
      </c>
      <c r="B440" s="29" t="s">
        <v>454</v>
      </c>
      <c r="C440" s="5" t="s">
        <v>547</v>
      </c>
      <c r="D440" s="10">
        <v>0.5</v>
      </c>
      <c r="E440" s="28">
        <f>일위대가목록!E42</f>
        <v>14702</v>
      </c>
      <c r="F440" s="27">
        <f>TRUNC(D440*E440,2)</f>
        <v>7351</v>
      </c>
      <c r="G440" s="28">
        <f>일위대가목록!F42</f>
        <v>419996</v>
      </c>
      <c r="H440" s="27">
        <f>TRUNC(D440*G440,2)</f>
        <v>209998</v>
      </c>
      <c r="I440" s="28">
        <f>일위대가목록!G42</f>
        <v>61586</v>
      </c>
      <c r="J440" s="27">
        <f>TRUNC(D440*I440,2)</f>
        <v>30793</v>
      </c>
      <c r="K440" s="27">
        <f>E440+G440+I440</f>
        <v>496284</v>
      </c>
      <c r="L440" s="27">
        <f>F440+H440+J440</f>
        <v>248142</v>
      </c>
      <c r="M440" s="29" t="s">
        <v>528</v>
      </c>
      <c r="N440" s="7" t="s">
        <v>1189</v>
      </c>
      <c r="O440" s="14" t="s">
        <v>720</v>
      </c>
      <c r="P440" s="14" t="s">
        <v>823</v>
      </c>
      <c r="Q440" s="14" t="s">
        <v>823</v>
      </c>
      <c r="R440" s="14" t="s">
        <v>123</v>
      </c>
      <c r="S440" s="31">
        <v>10</v>
      </c>
      <c r="T440" s="14" t="s">
        <v>1029</v>
      </c>
      <c r="U440" s="31">
        <v>0</v>
      </c>
      <c r="V440" s="31">
        <v>1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</row>
    <row r="441" spans="1:28" ht="29.1" customHeight="1" x14ac:dyDescent="0.3">
      <c r="A441" s="5" t="s">
        <v>1009</v>
      </c>
      <c r="B441" s="29" t="s">
        <v>985</v>
      </c>
      <c r="C441" s="5" t="s">
        <v>136</v>
      </c>
      <c r="D441" s="10">
        <v>1</v>
      </c>
      <c r="E441" s="27">
        <v>0</v>
      </c>
      <c r="F441" s="27">
        <f>TRUNC(D441*E441,2)</f>
        <v>0</v>
      </c>
      <c r="G441" s="27">
        <v>0</v>
      </c>
      <c r="H441" s="27">
        <f>TRUNC(D441*G441,2)</f>
        <v>0</v>
      </c>
      <c r="I441" s="27">
        <f>TRUNC(SUMIF(V440:V441, RIGHTB(O441, 1), L440:L441)*U441, 2)</f>
        <v>248142</v>
      </c>
      <c r="J441" s="27">
        <f>TRUNC(D441*I441,2)</f>
        <v>248142</v>
      </c>
      <c r="K441" s="27">
        <f>E441+G441+I441</f>
        <v>248142</v>
      </c>
      <c r="L441" s="27">
        <f>F441+H441+J441</f>
        <v>248142</v>
      </c>
      <c r="M441" s="29"/>
      <c r="N441" s="7" t="s">
        <v>1189</v>
      </c>
      <c r="O441" s="14" t="s">
        <v>572</v>
      </c>
      <c r="P441" s="14" t="s">
        <v>823</v>
      </c>
      <c r="Q441" s="14" t="s">
        <v>823</v>
      </c>
      <c r="R441" s="14" t="s">
        <v>228</v>
      </c>
      <c r="S441" s="31">
        <v>40</v>
      </c>
      <c r="T441" s="14" t="s">
        <v>940</v>
      </c>
      <c r="U441" s="31">
        <v>1</v>
      </c>
      <c r="V441" s="31">
        <v>0</v>
      </c>
      <c r="W441" s="31">
        <v>0</v>
      </c>
      <c r="X441" s="31">
        <v>0</v>
      </c>
      <c r="Y441" s="31">
        <v>0</v>
      </c>
      <c r="Z441" s="31">
        <v>0</v>
      </c>
      <c r="AA441" s="31">
        <v>0</v>
      </c>
      <c r="AB441" s="31">
        <v>0</v>
      </c>
    </row>
    <row r="442" spans="1:28" ht="29.1" customHeight="1" x14ac:dyDescent="0.3">
      <c r="A442" s="5" t="s">
        <v>621</v>
      </c>
      <c r="B442" s="5" t="s">
        <v>823</v>
      </c>
      <c r="C442" s="5" t="s">
        <v>823</v>
      </c>
      <c r="D442" s="5" t="s">
        <v>823</v>
      </c>
      <c r="E442" s="28">
        <v>0</v>
      </c>
      <c r="F442" s="28">
        <f>TRUNC(SUMIF(R440:R441, " ", F440:F441),0)</f>
        <v>0</v>
      </c>
      <c r="G442" s="28">
        <v>0</v>
      </c>
      <c r="H442" s="28">
        <f>TRUNC(SUMIF(R440:R441, " ", H440:H441),0)</f>
        <v>0</v>
      </c>
      <c r="I442" s="28">
        <v>0</v>
      </c>
      <c r="J442" s="27">
        <f>TRUNC(SUMIF(R440:R441, " ", J440:J441),0)</f>
        <v>248142</v>
      </c>
      <c r="K442" s="20" t="s">
        <v>823</v>
      </c>
      <c r="L442" s="28">
        <f>F442+H442+J442</f>
        <v>248142</v>
      </c>
      <c r="M442" s="29"/>
      <c r="N442" s="24" t="s">
        <v>747</v>
      </c>
      <c r="O442" s="4" t="s">
        <v>747</v>
      </c>
    </row>
    <row r="443" spans="1:28" ht="29.1" customHeight="1" x14ac:dyDescent="0.3">
      <c r="A443" s="5" t="s">
        <v>823</v>
      </c>
      <c r="B443" s="5" t="s">
        <v>823</v>
      </c>
      <c r="C443" s="5" t="s">
        <v>823</v>
      </c>
      <c r="D443" s="5" t="s">
        <v>823</v>
      </c>
      <c r="E443" s="5" t="s">
        <v>823</v>
      </c>
      <c r="F443" s="5" t="s">
        <v>823</v>
      </c>
      <c r="G443" s="5" t="s">
        <v>823</v>
      </c>
      <c r="H443" s="5" t="s">
        <v>823</v>
      </c>
      <c r="I443" s="5" t="s">
        <v>823</v>
      </c>
      <c r="J443" s="5" t="s">
        <v>823</v>
      </c>
      <c r="K443" s="5" t="s">
        <v>823</v>
      </c>
      <c r="L443" s="5" t="s">
        <v>823</v>
      </c>
      <c r="M443" s="5" t="s">
        <v>823</v>
      </c>
    </row>
    <row r="444" spans="1:28" ht="29.1" customHeight="1" x14ac:dyDescent="0.3">
      <c r="A444" s="48" t="s">
        <v>268</v>
      </c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50"/>
      <c r="N444" s="7" t="s">
        <v>1071</v>
      </c>
    </row>
    <row r="445" spans="1:28" ht="29.1" customHeight="1" x14ac:dyDescent="0.3">
      <c r="A445" s="5" t="s">
        <v>1003</v>
      </c>
      <c r="B445" s="29" t="s">
        <v>454</v>
      </c>
      <c r="C445" s="5" t="s">
        <v>547</v>
      </c>
      <c r="D445" s="10">
        <v>0.5</v>
      </c>
      <c r="E445" s="28">
        <f>일위대가목록!E42</f>
        <v>14702</v>
      </c>
      <c r="F445" s="27">
        <f>TRUNC(D445*E445,2)</f>
        <v>7351</v>
      </c>
      <c r="G445" s="28">
        <f>일위대가목록!F42</f>
        <v>419996</v>
      </c>
      <c r="H445" s="27">
        <f>TRUNC(D445*G445,2)</f>
        <v>209998</v>
      </c>
      <c r="I445" s="28">
        <f>일위대가목록!G42</f>
        <v>61586</v>
      </c>
      <c r="J445" s="27">
        <f>TRUNC(D445*I445,2)</f>
        <v>30793</v>
      </c>
      <c r="K445" s="27">
        <f>E445+G445+I445</f>
        <v>496284</v>
      </c>
      <c r="L445" s="27">
        <f>F445+H445+J445</f>
        <v>248142</v>
      </c>
      <c r="M445" s="29" t="s">
        <v>528</v>
      </c>
      <c r="N445" s="7" t="s">
        <v>1071</v>
      </c>
      <c r="O445" s="14" t="s">
        <v>720</v>
      </c>
      <c r="P445" s="14" t="s">
        <v>823</v>
      </c>
      <c r="Q445" s="14" t="s">
        <v>823</v>
      </c>
      <c r="R445" s="14" t="s">
        <v>123</v>
      </c>
      <c r="S445" s="31">
        <v>10</v>
      </c>
      <c r="T445" s="14" t="s">
        <v>1029</v>
      </c>
      <c r="U445" s="31">
        <v>0</v>
      </c>
      <c r="V445" s="31">
        <v>1</v>
      </c>
      <c r="W445" s="31">
        <v>0</v>
      </c>
      <c r="X445" s="31">
        <v>0</v>
      </c>
      <c r="Y445" s="31">
        <v>0</v>
      </c>
      <c r="Z445" s="31">
        <v>0</v>
      </c>
      <c r="AA445" s="31">
        <v>0</v>
      </c>
      <c r="AB445" s="31">
        <v>0</v>
      </c>
    </row>
    <row r="446" spans="1:28" ht="29.1" customHeight="1" x14ac:dyDescent="0.3">
      <c r="A446" s="5" t="s">
        <v>1009</v>
      </c>
      <c r="B446" s="29" t="s">
        <v>985</v>
      </c>
      <c r="C446" s="5" t="s">
        <v>136</v>
      </c>
      <c r="D446" s="10">
        <v>1</v>
      </c>
      <c r="E446" s="27">
        <v>0</v>
      </c>
      <c r="F446" s="27">
        <f>TRUNC(D446*E446,2)</f>
        <v>0</v>
      </c>
      <c r="G446" s="27">
        <v>0</v>
      </c>
      <c r="H446" s="27">
        <f>TRUNC(D446*G446,2)</f>
        <v>0</v>
      </c>
      <c r="I446" s="27">
        <f>TRUNC(SUMIF(V445:V446, RIGHTB(O446, 1), L445:L446)*U446, 2)</f>
        <v>248142</v>
      </c>
      <c r="J446" s="27">
        <f>TRUNC(D446*I446,2)</f>
        <v>248142</v>
      </c>
      <c r="K446" s="27">
        <f>E446+G446+I446</f>
        <v>248142</v>
      </c>
      <c r="L446" s="27">
        <f>F446+H446+J446</f>
        <v>248142</v>
      </c>
      <c r="M446" s="29"/>
      <c r="N446" s="7" t="s">
        <v>1071</v>
      </c>
      <c r="O446" s="14" t="s">
        <v>572</v>
      </c>
      <c r="P446" s="14" t="s">
        <v>823</v>
      </c>
      <c r="Q446" s="14" t="s">
        <v>823</v>
      </c>
      <c r="R446" s="14" t="s">
        <v>228</v>
      </c>
      <c r="S446" s="31">
        <v>40</v>
      </c>
      <c r="T446" s="14" t="s">
        <v>940</v>
      </c>
      <c r="U446" s="31">
        <v>1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</row>
    <row r="447" spans="1:28" ht="29.1" customHeight="1" x14ac:dyDescent="0.3">
      <c r="A447" s="5" t="s">
        <v>621</v>
      </c>
      <c r="B447" s="5" t="s">
        <v>823</v>
      </c>
      <c r="C447" s="5" t="s">
        <v>823</v>
      </c>
      <c r="D447" s="5" t="s">
        <v>823</v>
      </c>
      <c r="E447" s="28">
        <v>0</v>
      </c>
      <c r="F447" s="28">
        <f>TRUNC(SUMIF(R445:R446, " ", F445:F446),0)</f>
        <v>0</v>
      </c>
      <c r="G447" s="28">
        <v>0</v>
      </c>
      <c r="H447" s="28">
        <f>TRUNC(SUMIF(R445:R446, " ", H445:H446),0)</f>
        <v>0</v>
      </c>
      <c r="I447" s="28">
        <v>0</v>
      </c>
      <c r="J447" s="27">
        <f>TRUNC(SUMIF(R445:R446, " ", J445:J446),0)</f>
        <v>248142</v>
      </c>
      <c r="K447" s="20" t="s">
        <v>823</v>
      </c>
      <c r="L447" s="28">
        <f>F447+H447+J447</f>
        <v>248142</v>
      </c>
      <c r="M447" s="29"/>
      <c r="N447" s="24" t="s">
        <v>747</v>
      </c>
      <c r="O447" s="4" t="s">
        <v>747</v>
      </c>
    </row>
  </sheetData>
  <mergeCells count="94">
    <mergeCell ref="A435:M435"/>
    <mergeCell ref="A439:M439"/>
    <mergeCell ref="A444:M444"/>
    <mergeCell ref="A402:M402"/>
    <mergeCell ref="A409:M409"/>
    <mergeCell ref="A414:M414"/>
    <mergeCell ref="A424:M424"/>
    <mergeCell ref="A430:M430"/>
    <mergeCell ref="A367:M367"/>
    <mergeCell ref="A374:M374"/>
    <mergeCell ref="A381:M381"/>
    <mergeCell ref="A388:M388"/>
    <mergeCell ref="A395:M395"/>
    <mergeCell ref="A338:M338"/>
    <mergeCell ref="A343:M343"/>
    <mergeCell ref="A350:M350"/>
    <mergeCell ref="A356:M356"/>
    <mergeCell ref="A362:M362"/>
    <mergeCell ref="A308:M308"/>
    <mergeCell ref="A314:M314"/>
    <mergeCell ref="A323:M323"/>
    <mergeCell ref="A329:M329"/>
    <mergeCell ref="A333:M333"/>
    <mergeCell ref="A277:M277"/>
    <mergeCell ref="A284:M284"/>
    <mergeCell ref="A291:M291"/>
    <mergeCell ref="A297:M297"/>
    <mergeCell ref="A303:M303"/>
    <mergeCell ref="A249:M249"/>
    <mergeCell ref="A254:M254"/>
    <mergeCell ref="A260:M260"/>
    <mergeCell ref="A265:M265"/>
    <mergeCell ref="A271:M271"/>
    <mergeCell ref="A221:M221"/>
    <mergeCell ref="A227:M227"/>
    <mergeCell ref="A233:M233"/>
    <mergeCell ref="A238:M238"/>
    <mergeCell ref="A243:M243"/>
    <mergeCell ref="A192:M192"/>
    <mergeCell ref="A197:M197"/>
    <mergeCell ref="A203:M203"/>
    <mergeCell ref="A209:M209"/>
    <mergeCell ref="A215:M215"/>
    <mergeCell ref="A147:M147"/>
    <mergeCell ref="A156:M156"/>
    <mergeCell ref="A167:M167"/>
    <mergeCell ref="A173:M173"/>
    <mergeCell ref="A182:M182"/>
    <mergeCell ref="A117:M117"/>
    <mergeCell ref="A123:M123"/>
    <mergeCell ref="A129:M129"/>
    <mergeCell ref="A134:M134"/>
    <mergeCell ref="A139:M139"/>
    <mergeCell ref="A91:M91"/>
    <mergeCell ref="A95:M95"/>
    <mergeCell ref="A101:M101"/>
    <mergeCell ref="A107:M107"/>
    <mergeCell ref="A111:M111"/>
    <mergeCell ref="A56:M56"/>
    <mergeCell ref="A62:M62"/>
    <mergeCell ref="A67:M67"/>
    <mergeCell ref="A81:M81"/>
    <mergeCell ref="A87:M87"/>
    <mergeCell ref="A5:M5"/>
    <mergeCell ref="A12:M12"/>
    <mergeCell ref="A19:M19"/>
    <mergeCell ref="A33:M33"/>
    <mergeCell ref="A40:M40"/>
    <mergeCell ref="X3:X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8" type="noConversion"/>
  <printOptions horizontalCentered="1"/>
  <pageMargins left="0.59055118110236227" right="0.19685039370078741" top="0.47244094488188981" bottom="0.2755905511811023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K4"/>
  <sheetViews>
    <sheetView view="pageBreakPreview" topLeftCell="B1" zoomScaleNormal="100" zoomScaleSheetLayoutView="100" workbookViewId="0">
      <selection activeCell="C15" sqref="C15"/>
    </sheetView>
  </sheetViews>
  <sheetFormatPr defaultColWidth="9.125" defaultRowHeight="16.5" x14ac:dyDescent="0.3"/>
  <cols>
    <col min="1" max="1" width="9.125" hidden="1"/>
    <col min="2" max="2" width="35.125" customWidth="1"/>
    <col min="3" max="3" width="24.5" customWidth="1"/>
    <col min="4" max="4" width="6" customWidth="1"/>
    <col min="5" max="8" width="13.625" customWidth="1"/>
    <col min="9" max="9" width="8.625" customWidth="1"/>
    <col min="10" max="10" width="12.625" customWidth="1"/>
    <col min="11" max="11" width="9.125" hidden="1"/>
  </cols>
  <sheetData>
    <row r="1" spans="1:11" ht="30" customHeight="1" x14ac:dyDescent="0.3">
      <c r="A1" s="32" t="s">
        <v>692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30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0" customHeight="1" x14ac:dyDescent="0.3">
      <c r="A3" s="8" t="s">
        <v>1246</v>
      </c>
      <c r="B3" s="8" t="s">
        <v>331</v>
      </c>
      <c r="C3" s="8" t="s">
        <v>4</v>
      </c>
      <c r="D3" s="8" t="s">
        <v>1015</v>
      </c>
      <c r="E3" s="8" t="s">
        <v>1099</v>
      </c>
      <c r="F3" s="8" t="s">
        <v>312</v>
      </c>
      <c r="G3" s="8" t="s">
        <v>242</v>
      </c>
      <c r="H3" s="8" t="s">
        <v>1193</v>
      </c>
      <c r="I3" s="8" t="s">
        <v>1008</v>
      </c>
      <c r="J3" s="8" t="s">
        <v>1209</v>
      </c>
    </row>
    <row r="4" spans="1:11" ht="30" customHeight="1" x14ac:dyDescent="0.3">
      <c r="A4" s="5" t="s">
        <v>129</v>
      </c>
      <c r="B4" s="5" t="s">
        <v>640</v>
      </c>
      <c r="C4" s="29" t="s">
        <v>1141</v>
      </c>
      <c r="D4" s="5" t="s">
        <v>1175</v>
      </c>
      <c r="E4" s="28">
        <f>TRUNC(0, 0)</f>
        <v>0</v>
      </c>
      <c r="F4" s="28">
        <f>TRUNC(0, 0)</f>
        <v>0</v>
      </c>
      <c r="G4" s="28">
        <f>TRUNC(15547, 0)</f>
        <v>15547</v>
      </c>
      <c r="H4" s="28">
        <f>TRUNC(SUM(E4:G4), 0)</f>
        <v>15547</v>
      </c>
      <c r="I4" s="5" t="s">
        <v>494</v>
      </c>
      <c r="J4" s="29"/>
      <c r="K4" s="7" t="s">
        <v>129</v>
      </c>
    </row>
  </sheetData>
  <mergeCells count="2">
    <mergeCell ref="A1:J1"/>
    <mergeCell ref="A2:J2"/>
  </mergeCells>
  <phoneticPr fontId="8" type="noConversion"/>
  <printOptions horizontalCentered="1"/>
  <pageMargins left="0.59055118110236227" right="0.19685039370078741" top="0.47244094488188981" bottom="0.27559055118110237" header="0" footer="0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I51"/>
  <sheetViews>
    <sheetView view="pageBreakPreview" zoomScaleNormal="100" zoomScaleSheetLayoutView="100" workbookViewId="0">
      <selection activeCell="K24" sqref="K24"/>
    </sheetView>
  </sheetViews>
  <sheetFormatPr defaultColWidth="9.125" defaultRowHeight="18" customHeight="1" x14ac:dyDescent="0.3"/>
  <cols>
    <col min="1" max="1" width="77.625" customWidth="1"/>
    <col min="2" max="5" width="13.625" customWidth="1"/>
    <col min="6" max="6" width="12.625" customWidth="1"/>
    <col min="7" max="9" width="9.125" hidden="1"/>
  </cols>
  <sheetData>
    <row r="1" spans="1:8" ht="18" customHeight="1" x14ac:dyDescent="0.3">
      <c r="A1" s="32" t="s">
        <v>271</v>
      </c>
      <c r="B1" s="32"/>
      <c r="C1" s="32"/>
      <c r="D1" s="32"/>
      <c r="E1" s="32"/>
      <c r="F1" s="32"/>
    </row>
    <row r="2" spans="1:8" ht="18" customHeight="1" x14ac:dyDescent="0.3">
      <c r="A2" s="33" t="s">
        <v>612</v>
      </c>
      <c r="B2" s="33"/>
      <c r="C2" s="33"/>
      <c r="D2" s="33"/>
      <c r="E2" s="33"/>
      <c r="F2" s="33"/>
    </row>
    <row r="3" spans="1:8" ht="18" customHeight="1" x14ac:dyDescent="0.3">
      <c r="A3" s="8" t="s">
        <v>668</v>
      </c>
      <c r="B3" s="8" t="s">
        <v>1099</v>
      </c>
      <c r="C3" s="8" t="s">
        <v>312</v>
      </c>
      <c r="D3" s="8" t="s">
        <v>485</v>
      </c>
      <c r="E3" s="8" t="s">
        <v>639</v>
      </c>
      <c r="F3" s="8" t="s">
        <v>517</v>
      </c>
    </row>
    <row r="4" spans="1:8" ht="18" customHeight="1" x14ac:dyDescent="0.3">
      <c r="A4" s="2" t="s">
        <v>1155</v>
      </c>
      <c r="B4" s="22">
        <v>0</v>
      </c>
      <c r="C4" s="22">
        <v>0</v>
      </c>
      <c r="D4" s="22">
        <v>0</v>
      </c>
      <c r="E4" s="22">
        <f t="shared" ref="E4:E51" si="0" xml:space="preserve"> SUM(B4:D4)</f>
        <v>0</v>
      </c>
      <c r="F4" s="2" t="s">
        <v>823</v>
      </c>
      <c r="G4" s="7" t="s">
        <v>129</v>
      </c>
      <c r="H4" s="14" t="s">
        <v>823</v>
      </c>
    </row>
    <row r="5" spans="1:8" ht="18" customHeight="1" x14ac:dyDescent="0.3">
      <c r="A5" s="26" t="s">
        <v>371</v>
      </c>
      <c r="B5" s="6">
        <v>0</v>
      </c>
      <c r="C5" s="6">
        <v>0</v>
      </c>
      <c r="D5" s="6">
        <v>0</v>
      </c>
      <c r="E5" s="6">
        <f t="shared" si="0"/>
        <v>0</v>
      </c>
      <c r="F5" s="26"/>
      <c r="G5" s="7" t="s">
        <v>129</v>
      </c>
      <c r="H5" s="14" t="s">
        <v>1275</v>
      </c>
    </row>
    <row r="6" spans="1:8" ht="18" customHeight="1" x14ac:dyDescent="0.3">
      <c r="A6" s="26" t="s">
        <v>823</v>
      </c>
      <c r="B6" s="6">
        <v>0</v>
      </c>
      <c r="C6" s="6">
        <v>0</v>
      </c>
      <c r="D6" s="6">
        <v>0</v>
      </c>
      <c r="E6" s="6">
        <f t="shared" si="0"/>
        <v>0</v>
      </c>
      <c r="F6" s="26"/>
      <c r="G6" s="7" t="s">
        <v>129</v>
      </c>
      <c r="H6" s="14" t="s">
        <v>823</v>
      </c>
    </row>
    <row r="7" spans="1:8" ht="18" customHeight="1" x14ac:dyDescent="0.3">
      <c r="A7" s="26" t="s">
        <v>500</v>
      </c>
      <c r="B7" s="6">
        <v>0</v>
      </c>
      <c r="C7" s="6">
        <v>0</v>
      </c>
      <c r="D7" s="6">
        <v>0</v>
      </c>
      <c r="E7" s="6">
        <f t="shared" si="0"/>
        <v>0</v>
      </c>
      <c r="F7" s="26"/>
      <c r="G7" s="7" t="s">
        <v>129</v>
      </c>
      <c r="H7" s="14" t="s">
        <v>762</v>
      </c>
    </row>
    <row r="8" spans="1:8" ht="18" customHeight="1" x14ac:dyDescent="0.3">
      <c r="A8" s="26" t="s">
        <v>1265</v>
      </c>
      <c r="B8" s="6">
        <v>0</v>
      </c>
      <c r="C8" s="6">
        <v>0</v>
      </c>
      <c r="D8" s="6">
        <v>0</v>
      </c>
      <c r="E8" s="6">
        <f t="shared" si="0"/>
        <v>0</v>
      </c>
      <c r="F8" s="26"/>
      <c r="G8" s="7" t="s">
        <v>129</v>
      </c>
      <c r="H8" s="14" t="s">
        <v>58</v>
      </c>
    </row>
    <row r="9" spans="1:8" ht="18" customHeight="1" x14ac:dyDescent="0.3">
      <c r="A9" s="26" t="s">
        <v>27</v>
      </c>
      <c r="B9" s="6">
        <v>0</v>
      </c>
      <c r="C9" s="6">
        <v>0</v>
      </c>
      <c r="D9" s="6">
        <v>0</v>
      </c>
      <c r="E9" s="6">
        <f t="shared" si="0"/>
        <v>0</v>
      </c>
      <c r="F9" s="26"/>
      <c r="G9" s="7" t="s">
        <v>129</v>
      </c>
      <c r="H9" s="14" t="s">
        <v>296</v>
      </c>
    </row>
    <row r="10" spans="1:8" ht="18" customHeight="1" x14ac:dyDescent="0.3">
      <c r="A10" s="26" t="s">
        <v>933</v>
      </c>
      <c r="B10" s="6">
        <v>0</v>
      </c>
      <c r="C10" s="6">
        <v>0</v>
      </c>
      <c r="D10" s="6">
        <v>0</v>
      </c>
      <c r="E10" s="6">
        <f t="shared" si="0"/>
        <v>0</v>
      </c>
      <c r="F10" s="26"/>
      <c r="G10" s="7" t="s">
        <v>129</v>
      </c>
      <c r="H10" s="14" t="s">
        <v>962</v>
      </c>
    </row>
    <row r="11" spans="1:8" ht="18" customHeight="1" x14ac:dyDescent="0.3">
      <c r="A11" s="26" t="s">
        <v>1276</v>
      </c>
      <c r="B11" s="6">
        <v>0</v>
      </c>
      <c r="C11" s="6">
        <v>0</v>
      </c>
      <c r="D11" s="6">
        <v>0</v>
      </c>
      <c r="E11" s="6">
        <f t="shared" si="0"/>
        <v>0</v>
      </c>
      <c r="F11" s="26"/>
      <c r="G11" s="7" t="s">
        <v>129</v>
      </c>
      <c r="H11" s="14" t="s">
        <v>693</v>
      </c>
    </row>
    <row r="12" spans="1:8" ht="18" customHeight="1" x14ac:dyDescent="0.3">
      <c r="A12" s="26" t="s">
        <v>534</v>
      </c>
      <c r="B12" s="6">
        <v>0</v>
      </c>
      <c r="C12" s="6">
        <v>0</v>
      </c>
      <c r="D12" s="6">
        <v>0</v>
      </c>
      <c r="E12" s="6">
        <f t="shared" si="0"/>
        <v>0</v>
      </c>
      <c r="F12" s="26"/>
      <c r="G12" s="7" t="s">
        <v>129</v>
      </c>
      <c r="H12" s="14" t="s">
        <v>5</v>
      </c>
    </row>
    <row r="13" spans="1:8" ht="18" customHeight="1" x14ac:dyDescent="0.3">
      <c r="A13" s="26" t="s">
        <v>253</v>
      </c>
      <c r="B13" s="6">
        <v>0</v>
      </c>
      <c r="C13" s="6">
        <v>0</v>
      </c>
      <c r="D13" s="6">
        <v>0</v>
      </c>
      <c r="E13" s="6">
        <f t="shared" si="0"/>
        <v>0</v>
      </c>
      <c r="F13" s="26"/>
      <c r="G13" s="7" t="s">
        <v>129</v>
      </c>
      <c r="H13" s="14" t="s">
        <v>1039</v>
      </c>
    </row>
    <row r="14" spans="1:8" ht="18" customHeight="1" x14ac:dyDescent="0.3">
      <c r="A14" s="26" t="s">
        <v>958</v>
      </c>
      <c r="B14" s="6">
        <v>0</v>
      </c>
      <c r="C14" s="6">
        <v>0</v>
      </c>
      <c r="D14" s="6">
        <v>0</v>
      </c>
      <c r="E14" s="6">
        <f t="shared" si="0"/>
        <v>0</v>
      </c>
      <c r="F14" s="26"/>
      <c r="G14" s="7" t="s">
        <v>129</v>
      </c>
      <c r="H14" s="14" t="s">
        <v>354</v>
      </c>
    </row>
    <row r="15" spans="1:8" ht="18" customHeight="1" x14ac:dyDescent="0.3">
      <c r="A15" s="26" t="s">
        <v>344</v>
      </c>
      <c r="B15" s="6">
        <v>0</v>
      </c>
      <c r="C15" s="6">
        <v>0</v>
      </c>
      <c r="D15" s="6">
        <v>0</v>
      </c>
      <c r="E15" s="6">
        <f t="shared" si="0"/>
        <v>0</v>
      </c>
      <c r="F15" s="26"/>
      <c r="G15" s="7" t="s">
        <v>129</v>
      </c>
      <c r="H15" s="14" t="s">
        <v>828</v>
      </c>
    </row>
    <row r="16" spans="1:8" ht="18" customHeight="1" x14ac:dyDescent="0.3">
      <c r="A16" s="26" t="s">
        <v>838</v>
      </c>
      <c r="B16" s="6">
        <v>0</v>
      </c>
      <c r="C16" s="6">
        <v>0</v>
      </c>
      <c r="D16" s="6">
        <v>0</v>
      </c>
      <c r="E16" s="6">
        <f t="shared" si="0"/>
        <v>0</v>
      </c>
      <c r="F16" s="26"/>
      <c r="G16" s="7" t="s">
        <v>129</v>
      </c>
      <c r="H16" s="14" t="s">
        <v>925</v>
      </c>
    </row>
    <row r="17" spans="1:8" ht="18" customHeight="1" x14ac:dyDescent="0.3">
      <c r="A17" s="26" t="s">
        <v>1110</v>
      </c>
      <c r="B17" s="6">
        <v>0</v>
      </c>
      <c r="C17" s="6">
        <v>0</v>
      </c>
      <c r="D17" s="6">
        <v>0</v>
      </c>
      <c r="E17" s="6">
        <f t="shared" si="0"/>
        <v>0</v>
      </c>
      <c r="F17" s="26"/>
      <c r="G17" s="7" t="s">
        <v>129</v>
      </c>
      <c r="H17" s="14" t="s">
        <v>541</v>
      </c>
    </row>
    <row r="18" spans="1:8" ht="18" customHeight="1" x14ac:dyDescent="0.3">
      <c r="A18" s="26" t="s">
        <v>154</v>
      </c>
      <c r="B18" s="6">
        <v>0</v>
      </c>
      <c r="C18" s="6">
        <v>0</v>
      </c>
      <c r="D18" s="6">
        <v>0</v>
      </c>
      <c r="E18" s="6">
        <f t="shared" si="0"/>
        <v>0</v>
      </c>
      <c r="F18" s="26"/>
      <c r="G18" s="7" t="s">
        <v>129</v>
      </c>
      <c r="H18" s="14" t="s">
        <v>404</v>
      </c>
    </row>
    <row r="19" spans="1:8" ht="18" customHeight="1" x14ac:dyDescent="0.3">
      <c r="A19" s="26" t="s">
        <v>916</v>
      </c>
      <c r="B19" s="6">
        <v>0</v>
      </c>
      <c r="C19" s="6">
        <v>0</v>
      </c>
      <c r="D19" s="6">
        <v>0</v>
      </c>
      <c r="E19" s="6">
        <f t="shared" si="0"/>
        <v>0</v>
      </c>
      <c r="F19" s="26"/>
      <c r="G19" s="7" t="s">
        <v>129</v>
      </c>
      <c r="H19" s="14" t="s">
        <v>75</v>
      </c>
    </row>
    <row r="20" spans="1:8" ht="18" customHeight="1" x14ac:dyDescent="0.3">
      <c r="A20" s="26" t="s">
        <v>155</v>
      </c>
      <c r="B20" s="6">
        <v>0</v>
      </c>
      <c r="C20" s="6">
        <v>0</v>
      </c>
      <c r="D20" s="6">
        <v>0</v>
      </c>
      <c r="E20" s="6">
        <f t="shared" si="0"/>
        <v>0</v>
      </c>
      <c r="F20" s="26"/>
      <c r="G20" s="7" t="s">
        <v>129</v>
      </c>
      <c r="H20" s="14" t="s">
        <v>86</v>
      </c>
    </row>
    <row r="21" spans="1:8" ht="18" customHeight="1" x14ac:dyDescent="0.3">
      <c r="A21" s="26" t="s">
        <v>311</v>
      </c>
      <c r="B21" s="6">
        <v>0</v>
      </c>
      <c r="C21" s="6">
        <v>0</v>
      </c>
      <c r="D21" s="6">
        <v>0</v>
      </c>
      <c r="E21" s="6">
        <f t="shared" si="0"/>
        <v>0</v>
      </c>
      <c r="F21" s="26"/>
      <c r="G21" s="7" t="s">
        <v>129</v>
      </c>
      <c r="H21" s="14" t="s">
        <v>326</v>
      </c>
    </row>
    <row r="22" spans="1:8" ht="18" customHeight="1" x14ac:dyDescent="0.3">
      <c r="A22" s="26" t="s">
        <v>1066</v>
      </c>
      <c r="B22" s="6">
        <v>0</v>
      </c>
      <c r="C22" s="6">
        <v>0</v>
      </c>
      <c r="D22" s="6">
        <v>0</v>
      </c>
      <c r="E22" s="6">
        <f t="shared" si="0"/>
        <v>0</v>
      </c>
      <c r="F22" s="26"/>
      <c r="G22" s="7" t="s">
        <v>129</v>
      </c>
      <c r="H22" s="14" t="s">
        <v>1041</v>
      </c>
    </row>
    <row r="23" spans="1:8" ht="18" customHeight="1" x14ac:dyDescent="0.3">
      <c r="A23" s="26" t="s">
        <v>937</v>
      </c>
      <c r="B23" s="6">
        <v>0</v>
      </c>
      <c r="C23" s="6">
        <v>0</v>
      </c>
      <c r="D23" s="6">
        <v>0</v>
      </c>
      <c r="E23" s="6">
        <f t="shared" si="0"/>
        <v>0</v>
      </c>
      <c r="F23" s="26"/>
      <c r="G23" s="7" t="s">
        <v>129</v>
      </c>
      <c r="H23" s="14" t="s">
        <v>177</v>
      </c>
    </row>
    <row r="24" spans="1:8" ht="18" customHeight="1" x14ac:dyDescent="0.3">
      <c r="A24" s="26" t="s">
        <v>256</v>
      </c>
      <c r="B24" s="6">
        <v>0</v>
      </c>
      <c r="C24" s="6">
        <v>0</v>
      </c>
      <c r="D24" s="6">
        <v>0</v>
      </c>
      <c r="E24" s="6">
        <f t="shared" si="0"/>
        <v>0</v>
      </c>
      <c r="F24" s="26"/>
      <c r="G24" s="7" t="s">
        <v>129</v>
      </c>
      <c r="H24" s="14" t="s">
        <v>581</v>
      </c>
    </row>
    <row r="25" spans="1:8" ht="18" customHeight="1" x14ac:dyDescent="0.3">
      <c r="A25" s="26" t="s">
        <v>37</v>
      </c>
      <c r="B25" s="6">
        <v>0</v>
      </c>
      <c r="C25" s="6">
        <v>0</v>
      </c>
      <c r="D25" s="6">
        <v>0</v>
      </c>
      <c r="E25" s="6">
        <f t="shared" si="0"/>
        <v>0</v>
      </c>
      <c r="F25" s="26"/>
      <c r="G25" s="7" t="s">
        <v>129</v>
      </c>
      <c r="H25" s="14" t="s">
        <v>695</v>
      </c>
    </row>
    <row r="26" spans="1:8" ht="18" customHeight="1" x14ac:dyDescent="0.3">
      <c r="A26" s="26" t="s">
        <v>304</v>
      </c>
      <c r="B26" s="6">
        <v>0</v>
      </c>
      <c r="C26" s="6">
        <v>0</v>
      </c>
      <c r="D26" s="6">
        <v>0</v>
      </c>
      <c r="E26" s="6">
        <f t="shared" si="0"/>
        <v>0</v>
      </c>
      <c r="F26" s="26"/>
      <c r="G26" s="7" t="s">
        <v>129</v>
      </c>
      <c r="H26" s="14" t="s">
        <v>538</v>
      </c>
    </row>
    <row r="27" spans="1:8" ht="18" customHeight="1" x14ac:dyDescent="0.3">
      <c r="A27" s="26" t="s">
        <v>171</v>
      </c>
      <c r="B27" s="6">
        <v>0</v>
      </c>
      <c r="C27" s="6">
        <v>0</v>
      </c>
      <c r="D27" s="6">
        <v>0</v>
      </c>
      <c r="E27" s="6">
        <f t="shared" si="0"/>
        <v>0</v>
      </c>
      <c r="F27" s="26"/>
      <c r="G27" s="7" t="s">
        <v>129</v>
      </c>
      <c r="H27" s="14" t="s">
        <v>932</v>
      </c>
    </row>
    <row r="28" spans="1:8" ht="18" customHeight="1" x14ac:dyDescent="0.3">
      <c r="A28" s="26" t="s">
        <v>514</v>
      </c>
      <c r="B28" s="6">
        <v>0</v>
      </c>
      <c r="C28" s="6">
        <v>0</v>
      </c>
      <c r="D28" s="6">
        <v>0</v>
      </c>
      <c r="E28" s="6">
        <f t="shared" si="0"/>
        <v>0</v>
      </c>
      <c r="F28" s="26"/>
      <c r="G28" s="7" t="s">
        <v>129</v>
      </c>
      <c r="H28" s="14" t="s">
        <v>1174</v>
      </c>
    </row>
    <row r="29" spans="1:8" ht="18" customHeight="1" x14ac:dyDescent="0.3">
      <c r="A29" s="26" t="s">
        <v>407</v>
      </c>
      <c r="B29" s="6">
        <f t="shared" ref="B29:C31" si="1">TRUNC(0, 2)</f>
        <v>0</v>
      </c>
      <c r="C29" s="6">
        <f t="shared" si="1"/>
        <v>0</v>
      </c>
      <c r="D29" s="6">
        <f>TRUNC(381.89, 2)</f>
        <v>381.89</v>
      </c>
      <c r="E29" s="6">
        <f t="shared" si="0"/>
        <v>381.89</v>
      </c>
      <c r="F29" s="26"/>
      <c r="G29" s="7" t="s">
        <v>129</v>
      </c>
      <c r="H29" s="14" t="s">
        <v>316</v>
      </c>
    </row>
    <row r="30" spans="1:8" ht="18" customHeight="1" x14ac:dyDescent="0.3">
      <c r="A30" s="26" t="s">
        <v>741</v>
      </c>
      <c r="B30" s="6">
        <f t="shared" si="1"/>
        <v>0</v>
      </c>
      <c r="C30" s="6">
        <f t="shared" si="1"/>
        <v>0</v>
      </c>
      <c r="D30" s="6">
        <f>TRUNC(8248.92, 2)</f>
        <v>8248.92</v>
      </c>
      <c r="E30" s="6">
        <f t="shared" si="0"/>
        <v>8248.92</v>
      </c>
      <c r="F30" s="26"/>
      <c r="G30" s="7" t="s">
        <v>129</v>
      </c>
      <c r="H30" s="14" t="s">
        <v>624</v>
      </c>
    </row>
    <row r="31" spans="1:8" ht="18" customHeight="1" x14ac:dyDescent="0.3">
      <c r="A31" s="26" t="s">
        <v>423</v>
      </c>
      <c r="B31" s="6">
        <f t="shared" si="1"/>
        <v>0</v>
      </c>
      <c r="C31" s="6">
        <f t="shared" si="1"/>
        <v>0</v>
      </c>
      <c r="D31" s="6">
        <f>TRUNC(2387.54, 2)</f>
        <v>2387.54</v>
      </c>
      <c r="E31" s="6">
        <f t="shared" si="0"/>
        <v>2387.54</v>
      </c>
      <c r="F31" s="26"/>
      <c r="G31" s="7" t="s">
        <v>129</v>
      </c>
      <c r="H31" s="14" t="s">
        <v>845</v>
      </c>
    </row>
    <row r="32" spans="1:8" ht="18" customHeight="1" x14ac:dyDescent="0.3">
      <c r="A32" s="26" t="s">
        <v>461</v>
      </c>
      <c r="B32" s="6">
        <f>TRUNC(SUM(B5:B31), 2)</f>
        <v>0</v>
      </c>
      <c r="C32" s="6">
        <f>TRUNC(SUM(C5:C31), 2)</f>
        <v>0</v>
      </c>
      <c r="D32" s="6">
        <f>TRUNC(SUM(D5:D31), 2)</f>
        <v>11018.35</v>
      </c>
      <c r="E32" s="6">
        <f t="shared" si="0"/>
        <v>11018.35</v>
      </c>
      <c r="F32" s="26"/>
      <c r="G32" s="7" t="s">
        <v>129</v>
      </c>
      <c r="H32" s="14" t="s">
        <v>235</v>
      </c>
    </row>
    <row r="33" spans="1:8" ht="18" customHeight="1" x14ac:dyDescent="0.3">
      <c r="A33" s="26" t="s">
        <v>823</v>
      </c>
      <c r="B33" s="6">
        <v>0</v>
      </c>
      <c r="C33" s="6">
        <v>0</v>
      </c>
      <c r="D33" s="6">
        <v>0</v>
      </c>
      <c r="E33" s="6">
        <f t="shared" si="0"/>
        <v>0</v>
      </c>
      <c r="F33" s="26"/>
      <c r="G33" s="7" t="s">
        <v>129</v>
      </c>
      <c r="H33" s="14" t="s">
        <v>823</v>
      </c>
    </row>
    <row r="34" spans="1:8" ht="18" customHeight="1" x14ac:dyDescent="0.3">
      <c r="A34" s="26" t="s">
        <v>145</v>
      </c>
      <c r="B34" s="6">
        <v>0</v>
      </c>
      <c r="C34" s="6">
        <v>0</v>
      </c>
      <c r="D34" s="6">
        <v>0</v>
      </c>
      <c r="E34" s="6">
        <f t="shared" si="0"/>
        <v>0</v>
      </c>
      <c r="F34" s="26"/>
      <c r="G34" s="7" t="s">
        <v>129</v>
      </c>
      <c r="H34" s="14" t="s">
        <v>971</v>
      </c>
    </row>
    <row r="35" spans="1:8" ht="18" customHeight="1" x14ac:dyDescent="0.3">
      <c r="A35" s="26" t="s">
        <v>27</v>
      </c>
      <c r="B35" s="6">
        <v>0</v>
      </c>
      <c r="C35" s="6">
        <v>0</v>
      </c>
      <c r="D35" s="6">
        <v>0</v>
      </c>
      <c r="E35" s="6">
        <f t="shared" si="0"/>
        <v>0</v>
      </c>
      <c r="F35" s="26"/>
      <c r="G35" s="7" t="s">
        <v>129</v>
      </c>
      <c r="H35" s="14" t="s">
        <v>296</v>
      </c>
    </row>
    <row r="36" spans="1:8" ht="18" customHeight="1" x14ac:dyDescent="0.3">
      <c r="A36" s="26" t="s">
        <v>933</v>
      </c>
      <c r="B36" s="6">
        <v>0</v>
      </c>
      <c r="C36" s="6">
        <v>0</v>
      </c>
      <c r="D36" s="6">
        <v>0</v>
      </c>
      <c r="E36" s="6">
        <f t="shared" si="0"/>
        <v>0</v>
      </c>
      <c r="F36" s="26"/>
      <c r="G36" s="7" t="s">
        <v>129</v>
      </c>
      <c r="H36" s="14" t="s">
        <v>962</v>
      </c>
    </row>
    <row r="37" spans="1:8" ht="18" customHeight="1" x14ac:dyDescent="0.3">
      <c r="A37" s="26" t="s">
        <v>305</v>
      </c>
      <c r="B37" s="6">
        <v>0</v>
      </c>
      <c r="C37" s="6">
        <v>0</v>
      </c>
      <c r="D37" s="6">
        <v>0</v>
      </c>
      <c r="E37" s="6">
        <f t="shared" si="0"/>
        <v>0</v>
      </c>
      <c r="F37" s="26"/>
      <c r="G37" s="7" t="s">
        <v>129</v>
      </c>
      <c r="H37" s="14" t="s">
        <v>724</v>
      </c>
    </row>
    <row r="38" spans="1:8" ht="18" customHeight="1" x14ac:dyDescent="0.3">
      <c r="A38" s="26" t="s">
        <v>958</v>
      </c>
      <c r="B38" s="6">
        <v>0</v>
      </c>
      <c r="C38" s="6">
        <v>0</v>
      </c>
      <c r="D38" s="6">
        <v>0</v>
      </c>
      <c r="E38" s="6">
        <f t="shared" si="0"/>
        <v>0</v>
      </c>
      <c r="F38" s="26"/>
      <c r="G38" s="7" t="s">
        <v>129</v>
      </c>
      <c r="H38" s="14" t="s">
        <v>354</v>
      </c>
    </row>
    <row r="39" spans="1:8" ht="18" customHeight="1" x14ac:dyDescent="0.3">
      <c r="A39" s="26" t="s">
        <v>1056</v>
      </c>
      <c r="B39" s="6">
        <v>0</v>
      </c>
      <c r="C39" s="6">
        <v>0</v>
      </c>
      <c r="D39" s="6">
        <v>0</v>
      </c>
      <c r="E39" s="6">
        <f t="shared" si="0"/>
        <v>0</v>
      </c>
      <c r="F39" s="26"/>
      <c r="G39" s="7" t="s">
        <v>129</v>
      </c>
      <c r="H39" s="14" t="s">
        <v>441</v>
      </c>
    </row>
    <row r="40" spans="1:8" ht="18" customHeight="1" x14ac:dyDescent="0.3">
      <c r="A40" s="26" t="s">
        <v>1274</v>
      </c>
      <c r="B40" s="6">
        <f t="shared" ref="B40:C42" si="2">TRUNC(0, 2)</f>
        <v>0</v>
      </c>
      <c r="C40" s="6">
        <f t="shared" si="2"/>
        <v>0</v>
      </c>
      <c r="D40" s="6">
        <f>TRUNC(430.05, 2)</f>
        <v>430.05</v>
      </c>
      <c r="E40" s="6">
        <f t="shared" si="0"/>
        <v>430.05</v>
      </c>
      <c r="F40" s="26"/>
      <c r="G40" s="7" t="s">
        <v>129</v>
      </c>
      <c r="H40" s="14" t="s">
        <v>921</v>
      </c>
    </row>
    <row r="41" spans="1:8" ht="18" customHeight="1" x14ac:dyDescent="0.3">
      <c r="A41" s="26" t="s">
        <v>759</v>
      </c>
      <c r="B41" s="6">
        <f t="shared" si="2"/>
        <v>0</v>
      </c>
      <c r="C41" s="6">
        <f t="shared" si="2"/>
        <v>0</v>
      </c>
      <c r="D41" s="6">
        <f>TRUNC(1253.55, 2)</f>
        <v>1253.55</v>
      </c>
      <c r="E41" s="6">
        <f t="shared" si="0"/>
        <v>1253.55</v>
      </c>
      <c r="F41" s="26"/>
      <c r="G41" s="7" t="s">
        <v>129</v>
      </c>
      <c r="H41" s="14" t="s">
        <v>1042</v>
      </c>
    </row>
    <row r="42" spans="1:8" ht="18" customHeight="1" x14ac:dyDescent="0.3">
      <c r="A42" s="26" t="s">
        <v>132</v>
      </c>
      <c r="B42" s="6">
        <f t="shared" si="2"/>
        <v>0</v>
      </c>
      <c r="C42" s="6">
        <f t="shared" si="2"/>
        <v>0</v>
      </c>
      <c r="D42" s="6">
        <f>TRUNC(563.47, 2)</f>
        <v>563.47</v>
      </c>
      <c r="E42" s="6">
        <f t="shared" si="0"/>
        <v>563.47</v>
      </c>
      <c r="F42" s="26"/>
      <c r="G42" s="7" t="s">
        <v>129</v>
      </c>
      <c r="H42" s="14" t="s">
        <v>116</v>
      </c>
    </row>
    <row r="43" spans="1:8" ht="18" customHeight="1" x14ac:dyDescent="0.3">
      <c r="A43" s="26" t="s">
        <v>461</v>
      </c>
      <c r="B43" s="6">
        <f>TRUNC(SUM(B33:B42), 2)</f>
        <v>0</v>
      </c>
      <c r="C43" s="6">
        <f>TRUNC(SUM(C33:C42), 2)</f>
        <v>0</v>
      </c>
      <c r="D43" s="6">
        <f>TRUNC(SUM(D33:D42), 2)</f>
        <v>2247.0700000000002</v>
      </c>
      <c r="E43" s="6">
        <f t="shared" si="0"/>
        <v>2247.0700000000002</v>
      </c>
      <c r="F43" s="26"/>
      <c r="G43" s="7" t="s">
        <v>129</v>
      </c>
      <c r="H43" s="14" t="s">
        <v>235</v>
      </c>
    </row>
    <row r="44" spans="1:8" ht="18" customHeight="1" x14ac:dyDescent="0.3">
      <c r="A44" s="26" t="s">
        <v>823</v>
      </c>
      <c r="B44" s="6">
        <v>0</v>
      </c>
      <c r="C44" s="6">
        <v>0</v>
      </c>
      <c r="D44" s="6">
        <v>0</v>
      </c>
      <c r="E44" s="6">
        <f t="shared" si="0"/>
        <v>0</v>
      </c>
      <c r="F44" s="26"/>
      <c r="G44" s="7" t="s">
        <v>129</v>
      </c>
      <c r="H44" s="14" t="s">
        <v>823</v>
      </c>
    </row>
    <row r="45" spans="1:8" ht="18" customHeight="1" x14ac:dyDescent="0.3">
      <c r="A45" s="26" t="s">
        <v>438</v>
      </c>
      <c r="B45" s="6">
        <v>0</v>
      </c>
      <c r="C45" s="6">
        <v>0</v>
      </c>
      <c r="D45" s="6">
        <v>0</v>
      </c>
      <c r="E45" s="6">
        <f t="shared" si="0"/>
        <v>0</v>
      </c>
      <c r="F45" s="26"/>
      <c r="G45" s="7" t="s">
        <v>129</v>
      </c>
      <c r="H45" s="14" t="s">
        <v>1244</v>
      </c>
    </row>
    <row r="46" spans="1:8" ht="18" customHeight="1" x14ac:dyDescent="0.3">
      <c r="A46" s="26" t="s">
        <v>1166</v>
      </c>
      <c r="B46" s="6">
        <v>0</v>
      </c>
      <c r="C46" s="6">
        <v>0</v>
      </c>
      <c r="D46" s="6">
        <v>0</v>
      </c>
      <c r="E46" s="6">
        <f t="shared" si="0"/>
        <v>0</v>
      </c>
      <c r="F46" s="26"/>
      <c r="G46" s="7" t="s">
        <v>129</v>
      </c>
      <c r="H46" s="14" t="s">
        <v>157</v>
      </c>
    </row>
    <row r="47" spans="1:8" ht="18" customHeight="1" x14ac:dyDescent="0.3">
      <c r="A47" s="26" t="s">
        <v>446</v>
      </c>
      <c r="B47" s="6">
        <f>TRUNC(0, 2)</f>
        <v>0</v>
      </c>
      <c r="C47" s="6">
        <f>TRUNC(0, 2)</f>
        <v>0</v>
      </c>
      <c r="D47" s="6">
        <f>TRUNC(1747.58, 2)</f>
        <v>1747.58</v>
      </c>
      <c r="E47" s="6">
        <f t="shared" si="0"/>
        <v>1747.58</v>
      </c>
      <c r="F47" s="26"/>
      <c r="G47" s="7" t="s">
        <v>129</v>
      </c>
      <c r="H47" s="14" t="s">
        <v>330</v>
      </c>
    </row>
    <row r="48" spans="1:8" ht="18" customHeight="1" x14ac:dyDescent="0.3">
      <c r="A48" s="26" t="s">
        <v>135</v>
      </c>
      <c r="B48" s="6">
        <v>0</v>
      </c>
      <c r="C48" s="6">
        <v>0</v>
      </c>
      <c r="D48" s="6">
        <v>0</v>
      </c>
      <c r="E48" s="6">
        <f t="shared" si="0"/>
        <v>0</v>
      </c>
      <c r="F48" s="26"/>
      <c r="G48" s="7" t="s">
        <v>129</v>
      </c>
      <c r="H48" s="14" t="s">
        <v>146</v>
      </c>
    </row>
    <row r="49" spans="1:8" ht="18" customHeight="1" x14ac:dyDescent="0.3">
      <c r="A49" s="26" t="s">
        <v>789</v>
      </c>
      <c r="B49" s="6">
        <f>TRUNC(0, 2)</f>
        <v>0</v>
      </c>
      <c r="C49" s="6">
        <f>TRUNC(0, 2)</f>
        <v>0</v>
      </c>
      <c r="D49" s="6">
        <f>TRUNC(534.49, 2)</f>
        <v>534.49</v>
      </c>
      <c r="E49" s="6">
        <f t="shared" si="0"/>
        <v>534.49</v>
      </c>
      <c r="F49" s="26"/>
      <c r="G49" s="7" t="s">
        <v>129</v>
      </c>
      <c r="H49" s="14" t="s">
        <v>65</v>
      </c>
    </row>
    <row r="50" spans="1:8" ht="18" customHeight="1" x14ac:dyDescent="0.3">
      <c r="A50" s="26" t="s">
        <v>461</v>
      </c>
      <c r="B50" s="6">
        <f>TRUNC(SUM(B44:B49), 2)</f>
        <v>0</v>
      </c>
      <c r="C50" s="6">
        <f>TRUNC(SUM(C44:C49), 2)</f>
        <v>0</v>
      </c>
      <c r="D50" s="6">
        <f>TRUNC(SUM(D44:D49), 2)</f>
        <v>2282.0700000000002</v>
      </c>
      <c r="E50" s="6">
        <f t="shared" si="0"/>
        <v>2282.0700000000002</v>
      </c>
      <c r="F50" s="26"/>
      <c r="G50" s="7" t="s">
        <v>129</v>
      </c>
      <c r="H50" s="14" t="s">
        <v>235</v>
      </c>
    </row>
    <row r="51" spans="1:8" ht="18" customHeight="1" x14ac:dyDescent="0.3">
      <c r="A51" s="21" t="s">
        <v>573</v>
      </c>
      <c r="B51" s="12">
        <f>TRUNC(SUM(B32, B43, B50), 0)</f>
        <v>0</v>
      </c>
      <c r="C51" s="12">
        <f>TRUNC(SUM(C32, C43, C50), 0)</f>
        <v>0</v>
      </c>
      <c r="D51" s="12">
        <f>TRUNC(SUM(D32, D43, D50), 0)</f>
        <v>15547</v>
      </c>
      <c r="E51" s="12">
        <f t="shared" si="0"/>
        <v>15547</v>
      </c>
      <c r="F51" s="21"/>
      <c r="G51" s="7" t="s">
        <v>129</v>
      </c>
      <c r="H51" s="14" t="s">
        <v>573</v>
      </c>
    </row>
  </sheetData>
  <mergeCells count="2">
    <mergeCell ref="A1:F1"/>
    <mergeCell ref="A2:F2"/>
  </mergeCells>
  <phoneticPr fontId="8" type="noConversion"/>
  <printOptions horizontalCentered="1"/>
  <pageMargins left="0.59055118110236227" right="0.19685039370078741" top="0.59055118110236227" bottom="0.27559055118110237" header="0" footer="0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AO104"/>
  <sheetViews>
    <sheetView view="pageBreakPreview" topLeftCell="B1" zoomScale="85" zoomScaleNormal="100" zoomScaleSheetLayoutView="85" workbookViewId="0">
      <selection activeCell="H20" sqref="H20"/>
    </sheetView>
  </sheetViews>
  <sheetFormatPr defaultColWidth="9.125" defaultRowHeight="16.5" x14ac:dyDescent="0.3"/>
  <cols>
    <col min="1" max="1" width="9.125" hidden="1"/>
    <col min="2" max="2" width="29.625" customWidth="1"/>
    <col min="3" max="3" width="27.5" customWidth="1"/>
    <col min="4" max="4" width="5.5" customWidth="1"/>
    <col min="5" max="5" width="10.25" customWidth="1"/>
    <col min="6" max="6" width="6.625" customWidth="1"/>
    <col min="7" max="7" width="9.5" customWidth="1"/>
    <col min="8" max="8" width="6.625" customWidth="1"/>
    <col min="9" max="9" width="9.5" customWidth="1"/>
    <col min="10" max="10" width="6.625" customWidth="1"/>
    <col min="11" max="11" width="9.5" customWidth="1"/>
    <col min="12" max="12" width="6.625" customWidth="1"/>
    <col min="13" max="13" width="9.5" customWidth="1"/>
    <col min="14" max="14" width="6.625" customWidth="1"/>
    <col min="15" max="15" width="9.5" customWidth="1"/>
    <col min="16" max="16" width="6.625" customWidth="1"/>
    <col min="17" max="17" width="9.5" customWidth="1"/>
    <col min="18" max="18" width="6.625" customWidth="1"/>
    <col min="19" max="19" width="9.5" customWidth="1"/>
    <col min="20" max="20" width="6.625" customWidth="1"/>
    <col min="21" max="22" width="9.25" customWidth="1"/>
    <col min="23" max="23" width="10.25" customWidth="1"/>
    <col min="24" max="30" width="9.5" customWidth="1"/>
    <col min="31" max="31" width="9.25" customWidth="1"/>
    <col min="32" max="32" width="7.5" customWidth="1"/>
    <col min="33" max="33" width="6.75" customWidth="1"/>
    <col min="34" max="41" width="9.125" hidden="1"/>
  </cols>
  <sheetData>
    <row r="1" spans="1:40" ht="30" customHeight="1" x14ac:dyDescent="0.3">
      <c r="A1" s="32" t="s">
        <v>1229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40" ht="30" customHeight="1" x14ac:dyDescent="0.3">
      <c r="A2" s="33" t="s">
        <v>612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40" ht="30" customHeight="1" x14ac:dyDescent="0.3">
      <c r="A3" s="44" t="s">
        <v>1246</v>
      </c>
      <c r="B3" s="44" t="s">
        <v>1124</v>
      </c>
      <c r="C3" s="44" t="s">
        <v>4</v>
      </c>
      <c r="D3" s="44" t="s">
        <v>1015</v>
      </c>
      <c r="E3" s="34" t="s">
        <v>906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44" t="s">
        <v>312</v>
      </c>
      <c r="W3" s="34" t="s">
        <v>242</v>
      </c>
      <c r="X3" s="35"/>
      <c r="Y3" s="35"/>
      <c r="Z3" s="35"/>
      <c r="AA3" s="35"/>
      <c r="AB3" s="35"/>
      <c r="AC3" s="35"/>
      <c r="AD3" s="35"/>
      <c r="AE3" s="36"/>
      <c r="AF3" s="44" t="s">
        <v>1008</v>
      </c>
      <c r="AG3" s="44" t="s">
        <v>628</v>
      </c>
      <c r="AH3" s="46" t="s">
        <v>1113</v>
      </c>
      <c r="AI3" s="47" t="s">
        <v>611</v>
      </c>
      <c r="AJ3" s="47" t="s">
        <v>1021</v>
      </c>
      <c r="AK3" s="47" t="s">
        <v>1270</v>
      </c>
      <c r="AL3" s="47" t="s">
        <v>379</v>
      </c>
      <c r="AM3" s="47" t="s">
        <v>314</v>
      </c>
      <c r="AN3" s="47" t="s">
        <v>3</v>
      </c>
    </row>
    <row r="4" spans="1:40" ht="30" customHeight="1" x14ac:dyDescent="0.3">
      <c r="A4" s="45"/>
      <c r="B4" s="45"/>
      <c r="C4" s="45"/>
      <c r="D4" s="45"/>
      <c r="E4" s="8" t="s">
        <v>492</v>
      </c>
      <c r="F4" s="8" t="s">
        <v>886</v>
      </c>
      <c r="G4" s="8" t="s">
        <v>501</v>
      </c>
      <c r="H4" s="8" t="s">
        <v>886</v>
      </c>
      <c r="I4" s="8" t="s">
        <v>936</v>
      </c>
      <c r="J4" s="8" t="s">
        <v>886</v>
      </c>
      <c r="K4" s="8" t="s">
        <v>178</v>
      </c>
      <c r="L4" s="8" t="s">
        <v>886</v>
      </c>
      <c r="M4" s="8" t="s">
        <v>562</v>
      </c>
      <c r="N4" s="8" t="s">
        <v>886</v>
      </c>
      <c r="O4" s="8" t="s">
        <v>1032</v>
      </c>
      <c r="P4" s="8" t="s">
        <v>886</v>
      </c>
      <c r="Q4" s="8" t="s">
        <v>265</v>
      </c>
      <c r="R4" s="8" t="s">
        <v>886</v>
      </c>
      <c r="S4" s="8" t="s">
        <v>30</v>
      </c>
      <c r="T4" s="8" t="s">
        <v>886</v>
      </c>
      <c r="U4" s="8" t="s">
        <v>1162</v>
      </c>
      <c r="V4" s="45"/>
      <c r="W4" s="8" t="s">
        <v>492</v>
      </c>
      <c r="X4" s="8" t="s">
        <v>501</v>
      </c>
      <c r="Y4" s="8" t="s">
        <v>936</v>
      </c>
      <c r="Z4" s="8" t="s">
        <v>178</v>
      </c>
      <c r="AA4" s="8" t="s">
        <v>562</v>
      </c>
      <c r="AB4" s="8" t="s">
        <v>1032</v>
      </c>
      <c r="AC4" s="8" t="s">
        <v>265</v>
      </c>
      <c r="AD4" s="8" t="s">
        <v>30</v>
      </c>
      <c r="AE4" s="8" t="s">
        <v>1162</v>
      </c>
      <c r="AF4" s="45"/>
      <c r="AG4" s="45"/>
      <c r="AH4" s="46"/>
      <c r="AI4" s="47"/>
      <c r="AJ4" s="47"/>
      <c r="AK4" s="47"/>
      <c r="AL4" s="47"/>
      <c r="AM4" s="47"/>
      <c r="AN4" s="47"/>
    </row>
    <row r="5" spans="1:40" ht="30" customHeight="1" x14ac:dyDescent="0.3">
      <c r="A5" s="5" t="s">
        <v>341</v>
      </c>
      <c r="B5" s="5" t="s">
        <v>1072</v>
      </c>
      <c r="C5" s="29" t="s">
        <v>1184</v>
      </c>
      <c r="D5" s="5" t="s">
        <v>1312</v>
      </c>
      <c r="E5" s="28">
        <v>295000</v>
      </c>
      <c r="F5" s="5" t="s">
        <v>1237</v>
      </c>
      <c r="G5" s="28">
        <v>340000</v>
      </c>
      <c r="H5" s="5" t="s">
        <v>793</v>
      </c>
      <c r="I5" s="28">
        <v>361000</v>
      </c>
      <c r="J5" s="5" t="s">
        <v>749</v>
      </c>
      <c r="K5" s="28">
        <v>345000</v>
      </c>
      <c r="L5" s="5" t="s">
        <v>767</v>
      </c>
      <c r="M5" s="28">
        <v>330000</v>
      </c>
      <c r="N5" s="5" t="s">
        <v>332</v>
      </c>
      <c r="O5" s="27">
        <v>0</v>
      </c>
      <c r="P5" s="5" t="s">
        <v>823</v>
      </c>
      <c r="Q5" s="27">
        <v>0</v>
      </c>
      <c r="R5" s="5" t="s">
        <v>823</v>
      </c>
      <c r="S5" s="27">
        <v>0</v>
      </c>
      <c r="T5" s="5" t="s">
        <v>823</v>
      </c>
      <c r="U5" s="27">
        <f>ROUND(IF(MIN(E5,G5,I5,K5,M5,O5,Q5,S5)&lt;0, MIN(E5,G5,I5,K5,M5,O5,Q5,S5), SMALL(E5:T5,COUNTIF(E5:T5,0)+1)) * 공사설정!$C$24 / 100*AL5/ 100, 2)</f>
        <v>295000</v>
      </c>
      <c r="V5" s="27">
        <f>ROUND(0 * 공사설정!$C$25 / 100*AM5/ 100,2)</f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f>ROUND(IF(MIN(W5:AD5)=AVERAGE(W5:AD5), 0, IF(MIN(W5:AD5)&lt;0, MIN(W5:AD5), SMALL(W5:AD5,COUNTIF(W5:AD5,0)+1))) * 공사설정!$C$26 / 100*AN5/ 100,2)</f>
        <v>0</v>
      </c>
      <c r="AF5" s="5" t="s">
        <v>1252</v>
      </c>
      <c r="AG5" s="29" t="s">
        <v>823</v>
      </c>
      <c r="AH5" s="5" t="s">
        <v>823</v>
      </c>
      <c r="AI5" s="5" t="s">
        <v>823</v>
      </c>
      <c r="AK5" s="5" t="s">
        <v>823</v>
      </c>
      <c r="AL5" s="10">
        <v>100</v>
      </c>
      <c r="AM5" s="10">
        <v>100</v>
      </c>
      <c r="AN5" s="11">
        <v>100</v>
      </c>
    </row>
    <row r="6" spans="1:40" ht="30" customHeight="1" x14ac:dyDescent="0.3">
      <c r="A6" s="5" t="s">
        <v>652</v>
      </c>
      <c r="B6" s="5" t="s">
        <v>365</v>
      </c>
      <c r="C6" s="29" t="s">
        <v>830</v>
      </c>
      <c r="D6" s="5" t="s">
        <v>62</v>
      </c>
      <c r="E6" s="27">
        <v>0</v>
      </c>
      <c r="F6" s="5"/>
      <c r="G6" s="28">
        <v>2050</v>
      </c>
      <c r="H6" s="5" t="s">
        <v>793</v>
      </c>
      <c r="I6" s="27">
        <v>0</v>
      </c>
      <c r="J6" s="5" t="s">
        <v>823</v>
      </c>
      <c r="K6" s="27">
        <v>0</v>
      </c>
      <c r="L6" s="5"/>
      <c r="M6" s="27">
        <v>0</v>
      </c>
      <c r="N6" s="5"/>
      <c r="O6" s="27">
        <v>0</v>
      </c>
      <c r="P6" s="5"/>
      <c r="Q6" s="27">
        <v>0</v>
      </c>
      <c r="R6" s="5"/>
      <c r="S6" s="27">
        <v>0</v>
      </c>
      <c r="T6" s="5"/>
      <c r="U6" s="27">
        <f>ROUND(IF(MIN(E6,G6,I6,K6,M6,O6,Q6,S6)&lt;0, MIN(E6,G6,I6,K6,M6,O6,Q6,S6), SMALL(E6:T6,COUNTIF(E6:T6,0)+1)) * 공사설정!$C$24 / 100*AL6/ 100, 2)</f>
        <v>2050</v>
      </c>
      <c r="V6" s="27">
        <f>ROUND(0 * 공사설정!$C$25 / 100*AM6/ 100,2)</f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f>ROUND(IF(MIN(W6:AD6)=AVERAGE(W6:AD6), 0, IF(MIN(W6:AD6)&lt;0, MIN(W6:AD6), SMALL(W6:AD6,COUNTIF(W6:AD6,0)+1))) * 공사설정!$C$26 / 100*AN6/ 100,2)</f>
        <v>0</v>
      </c>
      <c r="AF6" s="5" t="s">
        <v>546</v>
      </c>
      <c r="AG6" s="29" t="s">
        <v>823</v>
      </c>
      <c r="AH6" s="5" t="s">
        <v>823</v>
      </c>
      <c r="AI6" s="5" t="s">
        <v>823</v>
      </c>
      <c r="AK6" s="5" t="s">
        <v>823</v>
      </c>
      <c r="AL6" s="10">
        <v>100</v>
      </c>
      <c r="AM6" s="10">
        <v>100</v>
      </c>
      <c r="AN6" s="11">
        <v>100</v>
      </c>
    </row>
    <row r="7" spans="1:40" ht="30" customHeight="1" x14ac:dyDescent="0.3">
      <c r="A7" s="5" t="s">
        <v>672</v>
      </c>
      <c r="B7" s="5" t="s">
        <v>802</v>
      </c>
      <c r="C7" s="29" t="s">
        <v>978</v>
      </c>
      <c r="D7" s="5" t="s">
        <v>80</v>
      </c>
      <c r="E7" s="27">
        <v>0</v>
      </c>
      <c r="F7" s="5" t="s">
        <v>823</v>
      </c>
      <c r="G7" s="27">
        <v>4166.67</v>
      </c>
      <c r="H7" s="5" t="s">
        <v>28</v>
      </c>
      <c r="I7" s="28">
        <v>1650</v>
      </c>
      <c r="J7" s="5" t="s">
        <v>1147</v>
      </c>
      <c r="K7" s="27">
        <v>5555.55</v>
      </c>
      <c r="L7" s="5" t="s">
        <v>1126</v>
      </c>
      <c r="M7" s="27">
        <v>0</v>
      </c>
      <c r="N7" s="5" t="s">
        <v>823</v>
      </c>
      <c r="O7" s="27">
        <v>0</v>
      </c>
      <c r="P7" s="5" t="s">
        <v>823</v>
      </c>
      <c r="Q7" s="27">
        <v>0</v>
      </c>
      <c r="R7" s="5" t="s">
        <v>823</v>
      </c>
      <c r="S7" s="27">
        <v>0</v>
      </c>
      <c r="T7" s="5" t="s">
        <v>823</v>
      </c>
      <c r="U7" s="27">
        <f>ROUND(IF(MIN(E7,G7,I7,K7,M7,O7,Q7,S7)&lt;0, MIN(E7,G7,I7,K7,M7,O7,Q7,S7), SMALL(E7:T7,COUNTIF(E7:T7,0)+1)) * 공사설정!$C$24 / 100*AL7/ 100, 2)</f>
        <v>1650</v>
      </c>
      <c r="V7" s="27">
        <f>ROUND(0 * 공사설정!$C$25 / 100*AM7/ 100,2)</f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f>ROUND(IF(MIN(W7:AD7)=AVERAGE(W7:AD7), 0, IF(MIN(W7:AD7)&lt;0, MIN(W7:AD7), SMALL(W7:AD7,COUNTIF(W7:AD7,0)+1))) * 공사설정!$C$26 / 100*AN7/ 100,2)</f>
        <v>0</v>
      </c>
      <c r="AF7" s="5" t="s">
        <v>133</v>
      </c>
      <c r="AG7" s="29" t="s">
        <v>823</v>
      </c>
      <c r="AH7" s="5" t="s">
        <v>823</v>
      </c>
      <c r="AI7" s="5" t="s">
        <v>823</v>
      </c>
      <c r="AK7" s="5" t="s">
        <v>823</v>
      </c>
      <c r="AL7" s="10">
        <v>100</v>
      </c>
      <c r="AM7" s="10">
        <v>100</v>
      </c>
      <c r="AN7" s="11">
        <v>100</v>
      </c>
    </row>
    <row r="8" spans="1:40" ht="30" customHeight="1" x14ac:dyDescent="0.3">
      <c r="A8" s="5" t="s">
        <v>867</v>
      </c>
      <c r="B8" s="5" t="s">
        <v>529</v>
      </c>
      <c r="C8" s="29" t="s">
        <v>498</v>
      </c>
      <c r="D8" s="5" t="s">
        <v>290</v>
      </c>
      <c r="E8" s="27">
        <v>0</v>
      </c>
      <c r="F8" s="5" t="s">
        <v>823</v>
      </c>
      <c r="G8" s="27">
        <v>1625.45</v>
      </c>
      <c r="H8" s="5" t="s">
        <v>28</v>
      </c>
      <c r="I8" s="27">
        <v>1391.81</v>
      </c>
      <c r="J8" s="5" t="s">
        <v>576</v>
      </c>
      <c r="K8" s="28">
        <v>1540</v>
      </c>
      <c r="L8" s="5" t="s">
        <v>870</v>
      </c>
      <c r="M8" s="27">
        <v>1546.36</v>
      </c>
      <c r="N8" s="5" t="s">
        <v>452</v>
      </c>
      <c r="O8" s="27">
        <v>0</v>
      </c>
      <c r="P8" s="5" t="s">
        <v>823</v>
      </c>
      <c r="Q8" s="27">
        <v>0</v>
      </c>
      <c r="R8" s="5" t="s">
        <v>823</v>
      </c>
      <c r="S8" s="27">
        <v>0</v>
      </c>
      <c r="T8" s="5" t="s">
        <v>823</v>
      </c>
      <c r="U8" s="27">
        <f>ROUND(IF(MIN(E8,G8,I8,K8,M8,O8,Q8,S8)&lt;0, MIN(E8,G8,I8,K8,M8,O8,Q8,S8), SMALL(E8:T8,COUNTIF(E8:T8,0)+1)) * 공사설정!$C$24 / 100*AL8/ 100, 2)</f>
        <v>1391.81</v>
      </c>
      <c r="V8" s="27">
        <f>ROUND(0 * 공사설정!$C$25 / 100*AM8/ 100,2)</f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f>ROUND(IF(MIN(W8:AD8)=AVERAGE(W8:AD8), 0, IF(MIN(W8:AD8)&lt;0, MIN(W8:AD8), SMALL(W8:AD8,COUNTIF(W8:AD8,0)+1))) * 공사설정!$C$26 / 100*AN8/ 100,2)</f>
        <v>0</v>
      </c>
      <c r="AF8" s="5" t="s">
        <v>260</v>
      </c>
      <c r="AG8" s="29" t="s">
        <v>823</v>
      </c>
      <c r="AH8" s="5" t="s">
        <v>823</v>
      </c>
      <c r="AI8" s="5" t="s">
        <v>823</v>
      </c>
      <c r="AK8" s="5" t="s">
        <v>823</v>
      </c>
      <c r="AL8" s="10">
        <v>100</v>
      </c>
      <c r="AM8" s="10">
        <v>100</v>
      </c>
      <c r="AN8" s="11">
        <v>100</v>
      </c>
    </row>
    <row r="9" spans="1:40" ht="30" customHeight="1" x14ac:dyDescent="0.3">
      <c r="A9" s="5" t="s">
        <v>569</v>
      </c>
      <c r="B9" s="5" t="s">
        <v>907</v>
      </c>
      <c r="C9" s="29" t="s">
        <v>172</v>
      </c>
      <c r="D9" s="5" t="s">
        <v>1224</v>
      </c>
      <c r="E9" s="28">
        <v>2177</v>
      </c>
      <c r="F9" s="5" t="s">
        <v>1237</v>
      </c>
      <c r="G9" s="27">
        <v>0</v>
      </c>
      <c r="H9" s="5" t="s">
        <v>823</v>
      </c>
      <c r="I9" s="27">
        <v>0</v>
      </c>
      <c r="J9" s="5" t="s">
        <v>823</v>
      </c>
      <c r="K9" s="27">
        <v>0</v>
      </c>
      <c r="L9" s="5" t="s">
        <v>823</v>
      </c>
      <c r="M9" s="27">
        <v>0</v>
      </c>
      <c r="N9" s="5" t="s">
        <v>823</v>
      </c>
      <c r="O9" s="27">
        <v>0</v>
      </c>
      <c r="P9" s="5" t="s">
        <v>823</v>
      </c>
      <c r="Q9" s="27">
        <v>0</v>
      </c>
      <c r="R9" s="5" t="s">
        <v>823</v>
      </c>
      <c r="S9" s="27">
        <v>0</v>
      </c>
      <c r="T9" s="5" t="s">
        <v>823</v>
      </c>
      <c r="U9" s="27">
        <f>ROUND(IF(MIN(E9,G9,I9,K9,M9,O9,Q9,S9)&lt;0, MIN(E9,G9,I9,K9,M9,O9,Q9,S9), SMALL(E9:T9,COUNTIF(E9:T9,0)+1)) * 공사설정!$C$24 / 100*AL9/ 100, 2)</f>
        <v>2177</v>
      </c>
      <c r="V9" s="27">
        <f>ROUND(0 * 공사설정!$C$25 / 100*AM9/ 100,2)</f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f>ROUND(IF(MIN(W9:AD9)=AVERAGE(W9:AD9), 0, IF(MIN(W9:AD9)&lt;0, MIN(W9:AD9), SMALL(W9:AD9,COUNTIF(W9:AD9,0)+1))) * 공사설정!$C$26 / 100*AN9/ 100,2)</f>
        <v>0</v>
      </c>
      <c r="AF9" s="5" t="s">
        <v>202</v>
      </c>
      <c r="AG9" s="29" t="s">
        <v>823</v>
      </c>
      <c r="AH9" s="5" t="s">
        <v>823</v>
      </c>
      <c r="AI9" s="5" t="s">
        <v>823</v>
      </c>
      <c r="AK9" s="5" t="s">
        <v>823</v>
      </c>
      <c r="AL9" s="10">
        <v>100</v>
      </c>
      <c r="AM9" s="10">
        <v>100</v>
      </c>
      <c r="AN9" s="11">
        <v>100</v>
      </c>
    </row>
    <row r="10" spans="1:40" ht="30" customHeight="1" x14ac:dyDescent="0.3">
      <c r="A10" s="5" t="s">
        <v>339</v>
      </c>
      <c r="B10" s="5" t="s">
        <v>617</v>
      </c>
      <c r="C10" s="29" t="s">
        <v>889</v>
      </c>
      <c r="D10" s="5" t="s">
        <v>1224</v>
      </c>
      <c r="E10" s="27">
        <v>0</v>
      </c>
      <c r="F10" s="5" t="s">
        <v>823</v>
      </c>
      <c r="G10" s="28">
        <v>4762</v>
      </c>
      <c r="H10" s="5" t="s">
        <v>1256</v>
      </c>
      <c r="I10" s="27">
        <v>0</v>
      </c>
      <c r="J10" s="5" t="s">
        <v>823</v>
      </c>
      <c r="K10" s="27">
        <v>0</v>
      </c>
      <c r="L10" s="5" t="s">
        <v>823</v>
      </c>
      <c r="M10" s="27">
        <v>0</v>
      </c>
      <c r="N10" s="5" t="s">
        <v>823</v>
      </c>
      <c r="O10" s="27">
        <v>0</v>
      </c>
      <c r="P10" s="5" t="s">
        <v>823</v>
      </c>
      <c r="Q10" s="27">
        <v>0</v>
      </c>
      <c r="R10" s="5" t="s">
        <v>823</v>
      </c>
      <c r="S10" s="27">
        <v>0</v>
      </c>
      <c r="T10" s="5" t="s">
        <v>823</v>
      </c>
      <c r="U10" s="27">
        <f>ROUND(IF(MIN(E10,G10,I10,K10,M10,O10,Q10,S10)&lt;0, MIN(E10,G10,I10,K10,M10,O10,Q10,S10), SMALL(E10:T10,COUNTIF(E10:T10,0)+1)) * 공사설정!$C$24 / 100*AL10/ 100, 2)</f>
        <v>4762</v>
      </c>
      <c r="V10" s="27">
        <f>ROUND(0 * 공사설정!$C$25 / 100*AM10/ 100,2)</f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f>ROUND(IF(MIN(W10:AD10)=AVERAGE(W10:AD10), 0, IF(MIN(W10:AD10)&lt;0, MIN(W10:AD10), SMALL(W10:AD10,COUNTIF(W10:AD10,0)+1))) * 공사설정!$C$26 / 100*AN10/ 100,2)</f>
        <v>0</v>
      </c>
      <c r="AF10" s="5" t="s">
        <v>1119</v>
      </c>
      <c r="AG10" s="29" t="s">
        <v>823</v>
      </c>
      <c r="AH10" s="5" t="s">
        <v>823</v>
      </c>
      <c r="AI10" s="5" t="s">
        <v>823</v>
      </c>
      <c r="AK10" s="5" t="s">
        <v>823</v>
      </c>
      <c r="AL10" s="10">
        <v>100</v>
      </c>
      <c r="AM10" s="10">
        <v>100</v>
      </c>
      <c r="AN10" s="11">
        <v>100</v>
      </c>
    </row>
    <row r="11" spans="1:40" ht="30" customHeight="1" x14ac:dyDescent="0.3">
      <c r="A11" s="5" t="s">
        <v>401</v>
      </c>
      <c r="B11" s="5" t="s">
        <v>1247</v>
      </c>
      <c r="C11" s="29" t="s">
        <v>13</v>
      </c>
      <c r="D11" s="5" t="s">
        <v>554</v>
      </c>
      <c r="E11" s="27">
        <v>0</v>
      </c>
      <c r="F11" s="5" t="s">
        <v>823</v>
      </c>
      <c r="G11" s="28">
        <v>31000</v>
      </c>
      <c r="H11" s="5" t="s">
        <v>663</v>
      </c>
      <c r="I11" s="27">
        <v>0</v>
      </c>
      <c r="J11" s="5"/>
      <c r="K11" s="28">
        <v>31000</v>
      </c>
      <c r="L11" s="5" t="s">
        <v>928</v>
      </c>
      <c r="M11" s="27">
        <v>0</v>
      </c>
      <c r="N11" s="5"/>
      <c r="O11" s="27">
        <v>0</v>
      </c>
      <c r="P11" s="5" t="s">
        <v>823</v>
      </c>
      <c r="Q11" s="27">
        <v>0</v>
      </c>
      <c r="R11" s="5"/>
      <c r="S11" s="27">
        <v>0</v>
      </c>
      <c r="T11" s="5" t="s">
        <v>823</v>
      </c>
      <c r="U11" s="27">
        <f>ROUND(IF(MIN(E11,G11,I11,K11,M11,O11,Q11,S11)&lt;0, MIN(E11,G11,I11,K11,M11,O11,Q11,S11), SMALL(E11:T11,COUNTIF(E11:T11,0)+1)) * 공사설정!$C$24 / 100*AL11/ 100, 2)</f>
        <v>31000</v>
      </c>
      <c r="V11" s="27">
        <f>ROUND(0 * 공사설정!$C$25 / 100*AM11/ 100,2)</f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f>ROUND(IF(MIN(W11:AD11)=AVERAGE(W11:AD11), 0, IF(MIN(W11:AD11)&lt;0, MIN(W11:AD11), SMALL(W11:AD11,COUNTIF(W11:AD11,0)+1))) * 공사설정!$C$26 / 100*AN11/ 100,2)</f>
        <v>0</v>
      </c>
      <c r="AF11" s="5" t="s">
        <v>26</v>
      </c>
      <c r="AG11" s="29" t="s">
        <v>823</v>
      </c>
      <c r="AH11" s="5" t="s">
        <v>823</v>
      </c>
      <c r="AI11" s="5" t="s">
        <v>823</v>
      </c>
      <c r="AK11" s="5" t="s">
        <v>823</v>
      </c>
      <c r="AL11" s="10">
        <v>100</v>
      </c>
      <c r="AM11" s="10">
        <v>100</v>
      </c>
      <c r="AN11" s="11">
        <v>100</v>
      </c>
    </row>
    <row r="12" spans="1:40" ht="30" customHeight="1" x14ac:dyDescent="0.3">
      <c r="A12" s="5" t="s">
        <v>948</v>
      </c>
      <c r="B12" s="5" t="s">
        <v>607</v>
      </c>
      <c r="C12" s="29" t="s">
        <v>896</v>
      </c>
      <c r="D12" s="5" t="s">
        <v>554</v>
      </c>
      <c r="E12" s="27">
        <v>0</v>
      </c>
      <c r="F12" s="5" t="s">
        <v>823</v>
      </c>
      <c r="G12" s="28">
        <v>26200</v>
      </c>
      <c r="H12" s="5" t="s">
        <v>587</v>
      </c>
      <c r="I12" s="28">
        <v>24900</v>
      </c>
      <c r="J12" s="5" t="s">
        <v>752</v>
      </c>
      <c r="K12" s="28">
        <v>20500</v>
      </c>
      <c r="L12" s="5" t="s">
        <v>928</v>
      </c>
      <c r="M12" s="27">
        <v>0</v>
      </c>
      <c r="N12" s="5"/>
      <c r="O12" s="27">
        <v>0</v>
      </c>
      <c r="P12" s="5" t="s">
        <v>823</v>
      </c>
      <c r="Q12" s="27">
        <v>0</v>
      </c>
      <c r="R12" s="5"/>
      <c r="S12" s="27">
        <v>0</v>
      </c>
      <c r="T12" s="5" t="s">
        <v>823</v>
      </c>
      <c r="U12" s="27">
        <f>ROUND(IF(MIN(E12,G12,I12,K12,M12,O12,Q12,S12)&lt;0, MIN(E12,G12,I12,K12,M12,O12,Q12,S12), SMALL(E12:T12,COUNTIF(E12:T12,0)+1)) * 공사설정!$C$24 / 100*AL12/ 100, 2)</f>
        <v>20500</v>
      </c>
      <c r="V12" s="27">
        <f>ROUND(0 * 공사설정!$C$25 / 100*AM12/ 100,2)</f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f>ROUND(IF(MIN(W12:AD12)=AVERAGE(W12:AD12), 0, IF(MIN(W12:AD12)&lt;0, MIN(W12:AD12), SMALL(W12:AD12,COUNTIF(W12:AD12,0)+1))) * 공사설정!$C$26 / 100*AN12/ 100,2)</f>
        <v>0</v>
      </c>
      <c r="AF12" s="5" t="s">
        <v>1145</v>
      </c>
      <c r="AG12" s="29" t="s">
        <v>823</v>
      </c>
      <c r="AH12" s="5" t="s">
        <v>823</v>
      </c>
      <c r="AI12" s="5" t="s">
        <v>823</v>
      </c>
      <c r="AK12" s="5" t="s">
        <v>823</v>
      </c>
      <c r="AL12" s="10">
        <v>100</v>
      </c>
      <c r="AM12" s="10">
        <v>100</v>
      </c>
      <c r="AN12" s="11">
        <v>100</v>
      </c>
    </row>
    <row r="13" spans="1:40" ht="30" customHeight="1" x14ac:dyDescent="0.3">
      <c r="A13" s="5" t="s">
        <v>424</v>
      </c>
      <c r="B13" s="5" t="s">
        <v>723</v>
      </c>
      <c r="C13" s="29" t="s">
        <v>169</v>
      </c>
      <c r="D13" s="5" t="s">
        <v>1224</v>
      </c>
      <c r="E13" s="27">
        <v>0</v>
      </c>
      <c r="F13" s="5" t="s">
        <v>823</v>
      </c>
      <c r="G13" s="28">
        <v>1360</v>
      </c>
      <c r="H13" s="5" t="s">
        <v>992</v>
      </c>
      <c r="I13" s="27">
        <v>0</v>
      </c>
      <c r="J13" s="5" t="s">
        <v>823</v>
      </c>
      <c r="K13" s="27">
        <v>0</v>
      </c>
      <c r="L13" s="5" t="s">
        <v>823</v>
      </c>
      <c r="M13" s="27">
        <v>0</v>
      </c>
      <c r="N13" s="5" t="s">
        <v>823</v>
      </c>
      <c r="O13" s="27">
        <v>0</v>
      </c>
      <c r="P13" s="5" t="s">
        <v>823</v>
      </c>
      <c r="Q13" s="27">
        <v>0</v>
      </c>
      <c r="R13" s="5" t="s">
        <v>823</v>
      </c>
      <c r="S13" s="27">
        <v>0</v>
      </c>
      <c r="T13" s="5" t="s">
        <v>823</v>
      </c>
      <c r="U13" s="27">
        <f>ROUND(IF(MIN(E13,G13,I13,K13,M13,O13,Q13,S13)&lt;0, MIN(E13,G13,I13,K13,M13,O13,Q13,S13), SMALL(E13:T13,COUNTIF(E13:T13,0)+1)) * 공사설정!$C$24 / 100*AL13/ 100, 2)</f>
        <v>1360</v>
      </c>
      <c r="V13" s="27">
        <f>ROUND(0 * 공사설정!$C$25 / 100*AM13/ 100,2)</f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f>ROUND(IF(MIN(W13:AD13)=AVERAGE(W13:AD13), 0, IF(MIN(W13:AD13)&lt;0, MIN(W13:AD13), SMALL(W13:AD13,COUNTIF(W13:AD13,0)+1))) * 공사설정!$C$26 / 100*AN13/ 100,2)</f>
        <v>0</v>
      </c>
      <c r="AF13" s="5" t="s">
        <v>1279</v>
      </c>
      <c r="AG13" s="29" t="s">
        <v>823</v>
      </c>
      <c r="AH13" s="5" t="s">
        <v>823</v>
      </c>
      <c r="AI13" s="5" t="s">
        <v>823</v>
      </c>
      <c r="AK13" s="5" t="s">
        <v>823</v>
      </c>
      <c r="AL13" s="10">
        <v>100</v>
      </c>
      <c r="AM13" s="10">
        <v>100</v>
      </c>
      <c r="AN13" s="11">
        <v>100</v>
      </c>
    </row>
    <row r="14" spans="1:40" ht="30" customHeight="1" x14ac:dyDescent="0.3">
      <c r="A14" s="5" t="s">
        <v>811</v>
      </c>
      <c r="B14" s="5" t="s">
        <v>1012</v>
      </c>
      <c r="C14" s="29" t="s">
        <v>1019</v>
      </c>
      <c r="D14" s="5" t="s">
        <v>1308</v>
      </c>
      <c r="E14" s="28">
        <v>2596</v>
      </c>
      <c r="F14" s="5" t="s">
        <v>1237</v>
      </c>
      <c r="G14" s="28">
        <v>2500</v>
      </c>
      <c r="H14" s="5" t="s">
        <v>763</v>
      </c>
      <c r="I14" s="28">
        <v>2358</v>
      </c>
      <c r="J14" s="5" t="s">
        <v>456</v>
      </c>
      <c r="K14" s="28">
        <v>2400</v>
      </c>
      <c r="L14" s="5" t="s">
        <v>499</v>
      </c>
      <c r="M14" s="27">
        <v>0</v>
      </c>
      <c r="N14" s="5"/>
      <c r="O14" s="27">
        <v>0</v>
      </c>
      <c r="P14" s="5" t="s">
        <v>823</v>
      </c>
      <c r="Q14" s="27">
        <v>0</v>
      </c>
      <c r="R14" s="5"/>
      <c r="S14" s="27">
        <v>0</v>
      </c>
      <c r="T14" s="5" t="s">
        <v>823</v>
      </c>
      <c r="U14" s="27">
        <f>ROUND(IF(MIN(E14,G14,I14,K14,M14,O14,Q14,S14)&lt;0, MIN(E14,G14,I14,K14,M14,O14,Q14,S14), SMALL(E14:T14,COUNTIF(E14:T14,0)+1)) * 공사설정!$C$24 / 100*AL14/ 100, 2)</f>
        <v>2358</v>
      </c>
      <c r="V14" s="27">
        <f>ROUND(0 * 공사설정!$C$25 / 100*AM14/ 100,2)</f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f>ROUND(IF(MIN(W14:AD14)=AVERAGE(W14:AD14), 0, IF(MIN(W14:AD14)&lt;0, MIN(W14:AD14), SMALL(W14:AD14,COUNTIF(W14:AD14,0)+1))) * 공사설정!$C$26 / 100*AN14/ 100,2)</f>
        <v>0</v>
      </c>
      <c r="AF14" s="5" t="s">
        <v>1185</v>
      </c>
      <c r="AG14" s="29" t="s">
        <v>823</v>
      </c>
      <c r="AH14" s="5" t="s">
        <v>823</v>
      </c>
      <c r="AI14" s="5" t="s">
        <v>823</v>
      </c>
      <c r="AK14" s="5" t="s">
        <v>823</v>
      </c>
      <c r="AL14" s="10">
        <v>100</v>
      </c>
      <c r="AM14" s="10">
        <v>100</v>
      </c>
      <c r="AN14" s="11">
        <v>100</v>
      </c>
    </row>
    <row r="15" spans="1:40" ht="30" customHeight="1" x14ac:dyDescent="0.3">
      <c r="A15" s="5" t="s">
        <v>1</v>
      </c>
      <c r="B15" s="5" t="s">
        <v>945</v>
      </c>
      <c r="C15" s="29" t="s">
        <v>281</v>
      </c>
      <c r="D15" s="5" t="s">
        <v>1224</v>
      </c>
      <c r="E15" s="27">
        <v>0</v>
      </c>
      <c r="F15" s="5" t="s">
        <v>823</v>
      </c>
      <c r="G15" s="28">
        <v>400</v>
      </c>
      <c r="H15" s="5" t="s">
        <v>631</v>
      </c>
      <c r="I15" s="27">
        <v>0</v>
      </c>
      <c r="J15" s="5"/>
      <c r="K15" s="28">
        <v>400</v>
      </c>
      <c r="L15" s="5" t="s">
        <v>320</v>
      </c>
      <c r="M15" s="27">
        <v>0</v>
      </c>
      <c r="N15" s="5"/>
      <c r="O15" s="27">
        <v>0</v>
      </c>
      <c r="P15" s="5" t="s">
        <v>823</v>
      </c>
      <c r="Q15" s="27">
        <v>0</v>
      </c>
      <c r="R15" s="5"/>
      <c r="S15" s="27">
        <v>0</v>
      </c>
      <c r="T15" s="5" t="s">
        <v>823</v>
      </c>
      <c r="U15" s="27">
        <f>ROUND(IF(MIN(E15,G15,I15,K15,M15,O15,Q15,S15)&lt;0, MIN(E15,G15,I15,K15,M15,O15,Q15,S15), SMALL(E15:T15,COUNTIF(E15:T15,0)+1)) * 공사설정!$C$24 / 100*AL15/ 100, 2)</f>
        <v>400</v>
      </c>
      <c r="V15" s="27">
        <f>ROUND(0 * 공사설정!$C$25 / 100*AM15/ 100,2)</f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f>ROUND(IF(MIN(W15:AD15)=AVERAGE(W15:AD15), 0, IF(MIN(W15:AD15)&lt;0, MIN(W15:AD15), SMALL(W15:AD15,COUNTIF(W15:AD15,0)+1))) * 공사설정!$C$26 / 100*AN15/ 100,2)</f>
        <v>0</v>
      </c>
      <c r="AF15" s="5" t="s">
        <v>826</v>
      </c>
      <c r="AG15" s="29" t="s">
        <v>823</v>
      </c>
      <c r="AH15" s="5" t="s">
        <v>823</v>
      </c>
      <c r="AI15" s="5" t="s">
        <v>823</v>
      </c>
      <c r="AK15" s="5" t="s">
        <v>823</v>
      </c>
      <c r="AL15" s="10">
        <v>100</v>
      </c>
      <c r="AM15" s="10">
        <v>100</v>
      </c>
      <c r="AN15" s="11">
        <v>100</v>
      </c>
    </row>
    <row r="16" spans="1:40" ht="30" customHeight="1" x14ac:dyDescent="0.3">
      <c r="A16" s="5" t="s">
        <v>718</v>
      </c>
      <c r="B16" s="5" t="s">
        <v>1067</v>
      </c>
      <c r="C16" s="29" t="s">
        <v>1248</v>
      </c>
      <c r="D16" s="5" t="s">
        <v>1004</v>
      </c>
      <c r="E16" s="27">
        <v>0</v>
      </c>
      <c r="F16" s="5" t="s">
        <v>823</v>
      </c>
      <c r="G16" s="28">
        <v>1450</v>
      </c>
      <c r="H16" s="5" t="s">
        <v>730</v>
      </c>
      <c r="I16" s="28">
        <v>1350</v>
      </c>
      <c r="J16" s="5" t="s">
        <v>783</v>
      </c>
      <c r="K16" s="27">
        <v>0</v>
      </c>
      <c r="L16" s="5" t="s">
        <v>823</v>
      </c>
      <c r="M16" s="27">
        <v>0</v>
      </c>
      <c r="N16" s="5" t="s">
        <v>823</v>
      </c>
      <c r="O16" s="27">
        <v>0</v>
      </c>
      <c r="P16" s="5" t="s">
        <v>823</v>
      </c>
      <c r="Q16" s="27">
        <v>0</v>
      </c>
      <c r="R16" s="5" t="s">
        <v>823</v>
      </c>
      <c r="S16" s="27">
        <v>0</v>
      </c>
      <c r="T16" s="5" t="s">
        <v>823</v>
      </c>
      <c r="U16" s="27">
        <f>ROUND(IF(MIN(E16,G16,I16,K16,M16,O16,Q16,S16)&lt;0, MIN(E16,G16,I16,K16,M16,O16,Q16,S16), SMALL(E16:T16,COUNTIF(E16:T16,0)+1)) * 공사설정!$C$24 / 100*AL16/ 100, 2)</f>
        <v>1350</v>
      </c>
      <c r="V16" s="27">
        <f>ROUND(0 * 공사설정!$C$25 / 100*AM16/ 100,2)</f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f>ROUND(IF(MIN(W16:AD16)=AVERAGE(W16:AD16), 0, IF(MIN(W16:AD16)&lt;0, MIN(W16:AD16), SMALL(W16:AD16,COUNTIF(W16:AD16,0)+1))) * 공사설정!$C$26 / 100*AN16/ 100,2)</f>
        <v>0</v>
      </c>
      <c r="AF16" s="5" t="s">
        <v>1311</v>
      </c>
      <c r="AG16" s="29" t="s">
        <v>823</v>
      </c>
      <c r="AH16" s="5" t="s">
        <v>823</v>
      </c>
      <c r="AI16" s="5" t="s">
        <v>823</v>
      </c>
      <c r="AK16" s="5" t="s">
        <v>823</v>
      </c>
      <c r="AL16" s="10">
        <v>100</v>
      </c>
      <c r="AM16" s="10">
        <v>100</v>
      </c>
      <c r="AN16" s="11">
        <v>100</v>
      </c>
    </row>
    <row r="17" spans="1:40" ht="30" customHeight="1" x14ac:dyDescent="0.3">
      <c r="A17" s="5" t="s">
        <v>11</v>
      </c>
      <c r="B17" s="5" t="s">
        <v>1178</v>
      </c>
      <c r="C17" s="29" t="s">
        <v>527</v>
      </c>
      <c r="D17" s="5" t="s">
        <v>835</v>
      </c>
      <c r="E17" s="27">
        <v>0</v>
      </c>
      <c r="F17" s="5" t="s">
        <v>823</v>
      </c>
      <c r="G17" s="28">
        <v>27000</v>
      </c>
      <c r="H17" s="5" t="s">
        <v>619</v>
      </c>
      <c r="I17" s="27">
        <v>0</v>
      </c>
      <c r="J17" s="5" t="s">
        <v>823</v>
      </c>
      <c r="K17" s="27">
        <v>0</v>
      </c>
      <c r="L17" s="5" t="s">
        <v>823</v>
      </c>
      <c r="M17" s="27">
        <v>0</v>
      </c>
      <c r="N17" s="5" t="s">
        <v>823</v>
      </c>
      <c r="O17" s="27">
        <v>0</v>
      </c>
      <c r="P17" s="5" t="s">
        <v>823</v>
      </c>
      <c r="Q17" s="27">
        <v>0</v>
      </c>
      <c r="R17" s="5"/>
      <c r="S17" s="27">
        <v>0</v>
      </c>
      <c r="T17" s="5" t="s">
        <v>823</v>
      </c>
      <c r="U17" s="27">
        <f>ROUND(IF(MIN(E17,G17,I17,K17,M17,O17,Q17,S17)&lt;0, MIN(E17,G17,I17,K17,M17,O17,Q17,S17), SMALL(E17:T17,COUNTIF(E17:T17,0)+1)) * 공사설정!$C$24 / 100*AL17/ 100, 2)</f>
        <v>27000</v>
      </c>
      <c r="V17" s="27">
        <f>ROUND(0 * 공사설정!$C$25 / 100*AM17/ 100,2)</f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f>ROUND(IF(MIN(W17:AD17)=AVERAGE(W17:AD17), 0, IF(MIN(W17:AD17)&lt;0, MIN(W17:AD17), SMALL(W17:AD17,COUNTIF(W17:AD17,0)+1))) * 공사설정!$C$26 / 100*AN17/ 100,2)</f>
        <v>0</v>
      </c>
      <c r="AF17" s="5" t="s">
        <v>493</v>
      </c>
      <c r="AG17" s="29" t="s">
        <v>823</v>
      </c>
      <c r="AH17" s="5" t="s">
        <v>823</v>
      </c>
      <c r="AI17" s="5" t="s">
        <v>823</v>
      </c>
      <c r="AK17" s="5" t="s">
        <v>823</v>
      </c>
      <c r="AL17" s="10">
        <v>100</v>
      </c>
      <c r="AM17" s="10">
        <v>100</v>
      </c>
      <c r="AN17" s="11">
        <v>100</v>
      </c>
    </row>
    <row r="18" spans="1:40" ht="30" customHeight="1" x14ac:dyDescent="0.3">
      <c r="A18" s="5" t="s">
        <v>321</v>
      </c>
      <c r="B18" s="5" t="s">
        <v>1280</v>
      </c>
      <c r="C18" s="29" t="s">
        <v>502</v>
      </c>
      <c r="D18" s="5" t="s">
        <v>1086</v>
      </c>
      <c r="E18" s="27">
        <v>0</v>
      </c>
      <c r="F18" s="5" t="s">
        <v>823</v>
      </c>
      <c r="G18" s="28">
        <v>5380</v>
      </c>
      <c r="H18" s="5" t="s">
        <v>237</v>
      </c>
      <c r="I18" s="28">
        <v>5380</v>
      </c>
      <c r="J18" s="5" t="s">
        <v>737</v>
      </c>
      <c r="K18" s="27">
        <v>0</v>
      </c>
      <c r="L18" s="5" t="s">
        <v>823</v>
      </c>
      <c r="M18" s="27">
        <v>0</v>
      </c>
      <c r="N18" s="5" t="s">
        <v>823</v>
      </c>
      <c r="O18" s="28">
        <v>210</v>
      </c>
      <c r="P18" s="5" t="s">
        <v>823</v>
      </c>
      <c r="Q18" s="27">
        <v>0</v>
      </c>
      <c r="R18" s="5" t="s">
        <v>823</v>
      </c>
      <c r="S18" s="27">
        <v>0</v>
      </c>
      <c r="T18" s="5" t="s">
        <v>823</v>
      </c>
      <c r="U18" s="27">
        <f>ROUND(IF(MIN(E18,G18,I18,K18,M18,O18,Q18,S18)&lt;0, MIN(E18,G18,I18,K18,M18,O18,Q18,S18), SMALL(E18:T18,COUNTIF(E18:T18,0)+1)) * 공사설정!$C$24 / 100*AL18/ 100, 2)</f>
        <v>210</v>
      </c>
      <c r="V18" s="27">
        <f>ROUND(0 * 공사설정!$C$25 / 100*AM18/ 100,2)</f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f>ROUND(IF(MIN(W18:AD18)=AVERAGE(W18:AD18), 0, IF(MIN(W18:AD18)&lt;0, MIN(W18:AD18), SMALL(W18:AD18,COUNTIF(W18:AD18,0)+1))) * 공사설정!$C$26 / 100*AN18/ 100,2)</f>
        <v>0</v>
      </c>
      <c r="AF18" s="5" t="s">
        <v>1117</v>
      </c>
      <c r="AG18" s="29" t="s">
        <v>823</v>
      </c>
      <c r="AH18" s="5" t="s">
        <v>823</v>
      </c>
      <c r="AI18" s="5" t="s">
        <v>823</v>
      </c>
      <c r="AK18" s="5" t="s">
        <v>823</v>
      </c>
      <c r="AL18" s="10">
        <v>100</v>
      </c>
      <c r="AM18" s="10">
        <v>100</v>
      </c>
      <c r="AN18" s="11">
        <v>100</v>
      </c>
    </row>
    <row r="19" spans="1:40" ht="30" customHeight="1" x14ac:dyDescent="0.3">
      <c r="A19" s="5" t="s">
        <v>275</v>
      </c>
      <c r="B19" s="5" t="s">
        <v>138</v>
      </c>
      <c r="C19" s="29" t="s">
        <v>218</v>
      </c>
      <c r="D19" s="5" t="s">
        <v>1086</v>
      </c>
      <c r="E19" s="27">
        <v>0</v>
      </c>
      <c r="F19" s="5" t="s">
        <v>823</v>
      </c>
      <c r="G19" s="27">
        <v>0</v>
      </c>
      <c r="H19" s="5" t="s">
        <v>823</v>
      </c>
      <c r="I19" s="27">
        <v>0</v>
      </c>
      <c r="J19" s="5" t="s">
        <v>823</v>
      </c>
      <c r="K19" s="27">
        <v>0</v>
      </c>
      <c r="L19" s="5" t="s">
        <v>823</v>
      </c>
      <c r="M19" s="27">
        <v>0</v>
      </c>
      <c r="N19" s="5" t="s">
        <v>823</v>
      </c>
      <c r="O19" s="28">
        <v>275</v>
      </c>
      <c r="P19" s="5" t="s">
        <v>823</v>
      </c>
      <c r="Q19" s="27">
        <v>0</v>
      </c>
      <c r="R19" s="5" t="s">
        <v>823</v>
      </c>
      <c r="S19" s="27">
        <v>0</v>
      </c>
      <c r="T19" s="5" t="s">
        <v>823</v>
      </c>
      <c r="U19" s="27">
        <f>ROUND(IF(MIN(E19,G19,I19,K19,M19,O19,Q19,S19)&lt;0, MIN(E19,G19,I19,K19,M19,O19,Q19,S19), SMALL(E19:T19,COUNTIF(E19:T19,0)+1)) * 공사설정!$C$24 / 100*AL19/ 100, 2)</f>
        <v>275</v>
      </c>
      <c r="V19" s="27">
        <f>ROUND(0 * 공사설정!$C$25 / 100*AM19/ 100,2)</f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f>ROUND(IF(MIN(W19:AD19)=AVERAGE(W19:AD19), 0, IF(MIN(W19:AD19)&lt;0, MIN(W19:AD19), SMALL(W19:AD19,COUNTIF(W19:AD19,0)+1))) * 공사설정!$C$26 / 100*AN19/ 100,2)</f>
        <v>0</v>
      </c>
      <c r="AF19" s="5" t="s">
        <v>894</v>
      </c>
      <c r="AG19" s="29" t="s">
        <v>823</v>
      </c>
      <c r="AH19" s="5" t="s">
        <v>823</v>
      </c>
      <c r="AI19" s="5" t="s">
        <v>823</v>
      </c>
      <c r="AK19" s="5" t="s">
        <v>823</v>
      </c>
      <c r="AL19" s="10">
        <v>100</v>
      </c>
      <c r="AM19" s="10">
        <v>100</v>
      </c>
      <c r="AN19" s="11">
        <v>100</v>
      </c>
    </row>
    <row r="20" spans="1:40" ht="30" customHeight="1" x14ac:dyDescent="0.3">
      <c r="A20" s="5" t="s">
        <v>207</v>
      </c>
      <c r="B20" s="5" t="s">
        <v>92</v>
      </c>
      <c r="C20" s="29" t="s">
        <v>1152</v>
      </c>
      <c r="D20" s="5" t="s">
        <v>293</v>
      </c>
      <c r="E20" s="28">
        <v>4103</v>
      </c>
      <c r="F20" s="5" t="s">
        <v>1237</v>
      </c>
      <c r="G20" s="28">
        <v>4250</v>
      </c>
      <c r="H20" s="5" t="s">
        <v>367</v>
      </c>
      <c r="I20" s="28">
        <v>5300</v>
      </c>
      <c r="J20" s="5" t="s">
        <v>408</v>
      </c>
      <c r="K20" s="28">
        <v>5250</v>
      </c>
      <c r="L20" s="5" t="s">
        <v>631</v>
      </c>
      <c r="M20" s="27">
        <v>0</v>
      </c>
      <c r="N20" s="5"/>
      <c r="O20" s="27">
        <v>0</v>
      </c>
      <c r="P20" s="5" t="s">
        <v>823</v>
      </c>
      <c r="Q20" s="27">
        <v>0</v>
      </c>
      <c r="R20" s="5"/>
      <c r="S20" s="27">
        <v>0</v>
      </c>
      <c r="T20" s="5" t="s">
        <v>823</v>
      </c>
      <c r="U20" s="27">
        <f>ROUND(IF(MIN(E20,G20,I20,K20,M20,O20,Q20,S20)&lt;0, MIN(E20,G20,I20,K20,M20,O20,Q20,S20), SMALL(E20:T20,COUNTIF(E20:T20,0)+1)) * 공사설정!$C$24 / 100*AL20/ 100, 2)</f>
        <v>4103</v>
      </c>
      <c r="V20" s="27">
        <f>ROUND(0 * 공사설정!$C$25 / 100*AM20/ 100,2)</f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f>ROUND(IF(MIN(W20:AD20)=AVERAGE(W20:AD20), 0, IF(MIN(W20:AD20)&lt;0, MIN(W20:AD20), SMALL(W20:AD20,COUNTIF(W20:AD20,0)+1))) * 공사설정!$C$26 / 100*AN20/ 100,2)</f>
        <v>0</v>
      </c>
      <c r="AF20" s="5" t="s">
        <v>194</v>
      </c>
      <c r="AG20" s="29" t="s">
        <v>823</v>
      </c>
      <c r="AH20" s="5" t="s">
        <v>823</v>
      </c>
      <c r="AI20" s="5" t="s">
        <v>823</v>
      </c>
      <c r="AK20" s="5" t="s">
        <v>823</v>
      </c>
      <c r="AL20" s="10">
        <v>100</v>
      </c>
      <c r="AM20" s="10">
        <v>100</v>
      </c>
      <c r="AN20" s="11">
        <v>100</v>
      </c>
    </row>
    <row r="21" spans="1:40" ht="30" customHeight="1" x14ac:dyDescent="0.3">
      <c r="A21" s="5" t="s">
        <v>67</v>
      </c>
      <c r="B21" s="5" t="s">
        <v>1134</v>
      </c>
      <c r="C21" s="29" t="s">
        <v>1294</v>
      </c>
      <c r="D21" s="5" t="s">
        <v>1086</v>
      </c>
      <c r="E21" s="27">
        <v>0</v>
      </c>
      <c r="F21" s="5" t="s">
        <v>823</v>
      </c>
      <c r="G21" s="28">
        <v>1400</v>
      </c>
      <c r="H21" s="5" t="s">
        <v>367</v>
      </c>
      <c r="I21" s="28">
        <v>2300</v>
      </c>
      <c r="J21" s="5" t="s">
        <v>408</v>
      </c>
      <c r="K21" s="28">
        <v>2300</v>
      </c>
      <c r="L21" s="5" t="s">
        <v>631</v>
      </c>
      <c r="M21" s="28">
        <v>2200</v>
      </c>
      <c r="N21" s="5" t="s">
        <v>1084</v>
      </c>
      <c r="O21" s="27">
        <v>0</v>
      </c>
      <c r="P21" s="5" t="s">
        <v>823</v>
      </c>
      <c r="Q21" s="27">
        <v>0</v>
      </c>
      <c r="R21" s="5"/>
      <c r="S21" s="27">
        <v>0</v>
      </c>
      <c r="T21" s="5" t="s">
        <v>823</v>
      </c>
      <c r="U21" s="27">
        <f>ROUND(IF(MIN(E21,G21,I21,K21,M21,O21,Q21,S21)&lt;0, MIN(E21,G21,I21,K21,M21,O21,Q21,S21), SMALL(E21:T21,COUNTIF(E21:T21,0)+1)) * 공사설정!$C$24 / 100*AL21/ 100, 2)</f>
        <v>1400</v>
      </c>
      <c r="V21" s="27">
        <f>ROUND(0 * 공사설정!$C$25 / 100*AM21/ 100,2)</f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f>ROUND(IF(MIN(W21:AD21)=AVERAGE(W21:AD21), 0, IF(MIN(W21:AD21)&lt;0, MIN(W21:AD21), SMALL(W21:AD21,COUNTIF(W21:AD21,0)+1))) * 공사설정!$C$26 / 100*AN21/ 100,2)</f>
        <v>0</v>
      </c>
      <c r="AF21" s="5" t="s">
        <v>513</v>
      </c>
      <c r="AG21" s="29" t="s">
        <v>823</v>
      </c>
      <c r="AH21" s="5" t="s">
        <v>823</v>
      </c>
      <c r="AI21" s="5" t="s">
        <v>823</v>
      </c>
      <c r="AK21" s="5" t="s">
        <v>823</v>
      </c>
      <c r="AL21" s="10">
        <v>100</v>
      </c>
      <c r="AM21" s="10">
        <v>100</v>
      </c>
      <c r="AN21" s="11">
        <v>100</v>
      </c>
    </row>
    <row r="22" spans="1:40" ht="30" customHeight="1" x14ac:dyDescent="0.3">
      <c r="A22" s="5" t="s">
        <v>974</v>
      </c>
      <c r="B22" s="5" t="s">
        <v>1134</v>
      </c>
      <c r="C22" s="29" t="s">
        <v>994</v>
      </c>
      <c r="D22" s="5" t="s">
        <v>1086</v>
      </c>
      <c r="E22" s="27">
        <v>0</v>
      </c>
      <c r="F22" s="5" t="s">
        <v>823</v>
      </c>
      <c r="G22" s="28">
        <v>1560</v>
      </c>
      <c r="H22" s="5" t="s">
        <v>367</v>
      </c>
      <c r="I22" s="27">
        <v>0</v>
      </c>
      <c r="J22" s="5"/>
      <c r="K22" s="27">
        <v>0</v>
      </c>
      <c r="L22" s="5" t="s">
        <v>823</v>
      </c>
      <c r="M22" s="27">
        <v>0</v>
      </c>
      <c r="N22" s="5"/>
      <c r="O22" s="27">
        <v>0</v>
      </c>
      <c r="P22" s="5" t="s">
        <v>823</v>
      </c>
      <c r="Q22" s="27">
        <v>0</v>
      </c>
      <c r="R22" s="5"/>
      <c r="S22" s="27">
        <v>0</v>
      </c>
      <c r="T22" s="5" t="s">
        <v>823</v>
      </c>
      <c r="U22" s="27">
        <f>ROUND(IF(MIN(E22,G22,I22,K22,M22,O22,Q22,S22)&lt;0, MIN(E22,G22,I22,K22,M22,O22,Q22,S22), SMALL(E22:T22,COUNTIF(E22:T22,0)+1)) * 공사설정!$C$24 / 100*AL22/ 100, 2)</f>
        <v>1560</v>
      </c>
      <c r="V22" s="27">
        <f>ROUND(0 * 공사설정!$C$25 / 100*AM22/ 100,2)</f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f>ROUND(IF(MIN(W22:AD22)=AVERAGE(W22:AD22), 0, IF(MIN(W22:AD22)&lt;0, MIN(W22:AD22), SMALL(W22:AD22,COUNTIF(W22:AD22,0)+1))) * 공사설정!$C$26 / 100*AN22/ 100,2)</f>
        <v>0</v>
      </c>
      <c r="AF22" s="5" t="s">
        <v>478</v>
      </c>
      <c r="AG22" s="29" t="s">
        <v>823</v>
      </c>
      <c r="AH22" s="5" t="s">
        <v>823</v>
      </c>
      <c r="AI22" s="5" t="s">
        <v>823</v>
      </c>
      <c r="AK22" s="5" t="s">
        <v>823</v>
      </c>
      <c r="AL22" s="10">
        <v>100</v>
      </c>
      <c r="AM22" s="10">
        <v>100</v>
      </c>
      <c r="AN22" s="11">
        <v>100</v>
      </c>
    </row>
    <row r="23" spans="1:40" ht="30" customHeight="1" x14ac:dyDescent="0.3">
      <c r="A23" s="5" t="s">
        <v>1090</v>
      </c>
      <c r="B23" s="5" t="s">
        <v>1134</v>
      </c>
      <c r="C23" s="29" t="s">
        <v>686</v>
      </c>
      <c r="D23" s="5" t="s">
        <v>1086</v>
      </c>
      <c r="E23" s="27">
        <v>0</v>
      </c>
      <c r="F23" s="5" t="s">
        <v>823</v>
      </c>
      <c r="G23" s="28">
        <v>3500</v>
      </c>
      <c r="H23" s="5" t="s">
        <v>367</v>
      </c>
      <c r="I23" s="28">
        <v>4000</v>
      </c>
      <c r="J23" s="5" t="s">
        <v>408</v>
      </c>
      <c r="K23" s="28">
        <v>4000</v>
      </c>
      <c r="L23" s="5" t="s">
        <v>631</v>
      </c>
      <c r="M23" s="27">
        <v>0</v>
      </c>
      <c r="N23" s="5"/>
      <c r="O23" s="27">
        <v>0</v>
      </c>
      <c r="P23" s="5" t="s">
        <v>823</v>
      </c>
      <c r="Q23" s="27">
        <v>0</v>
      </c>
      <c r="R23" s="5"/>
      <c r="S23" s="27">
        <v>0</v>
      </c>
      <c r="T23" s="5" t="s">
        <v>823</v>
      </c>
      <c r="U23" s="27">
        <f>ROUND(IF(MIN(E23,G23,I23,K23,M23,O23,Q23,S23)&lt;0, MIN(E23,G23,I23,K23,M23,O23,Q23,S23), SMALL(E23:T23,COUNTIF(E23:T23,0)+1)) * 공사설정!$C$24 / 100*AL23/ 100, 2)</f>
        <v>3500</v>
      </c>
      <c r="V23" s="27">
        <f>ROUND(0 * 공사설정!$C$25 / 100*AM23/ 100,2)</f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f>ROUND(IF(MIN(W23:AD23)=AVERAGE(W23:AD23), 0, IF(MIN(W23:AD23)&lt;0, MIN(W23:AD23), SMALL(W23:AD23,COUNTIF(W23:AD23,0)+1))) * 공사설정!$C$26 / 100*AN23/ 100,2)</f>
        <v>0</v>
      </c>
      <c r="AF23" s="5" t="s">
        <v>382</v>
      </c>
      <c r="AG23" s="29" t="s">
        <v>823</v>
      </c>
      <c r="AH23" s="5" t="s">
        <v>823</v>
      </c>
      <c r="AI23" s="5" t="s">
        <v>823</v>
      </c>
      <c r="AK23" s="5" t="s">
        <v>823</v>
      </c>
      <c r="AL23" s="10">
        <v>100</v>
      </c>
      <c r="AM23" s="10">
        <v>100</v>
      </c>
      <c r="AN23" s="11">
        <v>100</v>
      </c>
    </row>
    <row r="24" spans="1:40" ht="30" customHeight="1" x14ac:dyDescent="0.3">
      <c r="A24" s="5" t="s">
        <v>2</v>
      </c>
      <c r="B24" s="5" t="s">
        <v>1134</v>
      </c>
      <c r="C24" s="29" t="s">
        <v>429</v>
      </c>
      <c r="D24" s="5" t="s">
        <v>1086</v>
      </c>
      <c r="E24" s="27">
        <v>0</v>
      </c>
      <c r="F24" s="5" t="s">
        <v>823</v>
      </c>
      <c r="G24" s="27">
        <v>0</v>
      </c>
      <c r="H24" s="5" t="s">
        <v>823</v>
      </c>
      <c r="I24" s="27">
        <v>0</v>
      </c>
      <c r="J24" s="5"/>
      <c r="K24" s="27">
        <v>0</v>
      </c>
      <c r="L24" s="5" t="s">
        <v>823</v>
      </c>
      <c r="M24" s="27">
        <v>0</v>
      </c>
      <c r="N24" s="5"/>
      <c r="O24" s="28">
        <v>900</v>
      </c>
      <c r="P24" s="5" t="s">
        <v>823</v>
      </c>
      <c r="Q24" s="28">
        <v>900</v>
      </c>
      <c r="R24" s="5" t="s">
        <v>823</v>
      </c>
      <c r="S24" s="27">
        <v>0</v>
      </c>
      <c r="T24" s="5" t="s">
        <v>823</v>
      </c>
      <c r="U24" s="27">
        <f>ROUND(IF(MIN(E24,G24,I24,K24,M24,O24,Q24,S24)&lt;0, MIN(E24,G24,I24,K24,M24,O24,Q24,S24), SMALL(E24:T24,COUNTIF(E24:T24,0)+1)) * 공사설정!$C$24 / 100*AL24/ 100, 2)</f>
        <v>900</v>
      </c>
      <c r="V24" s="27">
        <f>ROUND(0 * 공사설정!$C$25 / 100*AM24/ 100,2)</f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f>ROUND(IF(MIN(W24:AD24)=AVERAGE(W24:AD24), 0, IF(MIN(W24:AD24)&lt;0, MIN(W24:AD24), SMALL(W24:AD24,COUNTIF(W24:AD24,0)+1))) * 공사설정!$C$26 / 100*AN24/ 100,2)</f>
        <v>0</v>
      </c>
      <c r="AF24" s="5" t="s">
        <v>463</v>
      </c>
      <c r="AG24" s="29" t="s">
        <v>823</v>
      </c>
      <c r="AH24" s="5" t="s">
        <v>823</v>
      </c>
      <c r="AI24" s="5" t="s">
        <v>823</v>
      </c>
      <c r="AK24" s="5" t="s">
        <v>823</v>
      </c>
      <c r="AL24" s="10">
        <v>100</v>
      </c>
      <c r="AM24" s="10">
        <v>100</v>
      </c>
      <c r="AN24" s="11">
        <v>100</v>
      </c>
    </row>
    <row r="25" spans="1:40" ht="30" customHeight="1" x14ac:dyDescent="0.3">
      <c r="A25" s="5" t="s">
        <v>119</v>
      </c>
      <c r="B25" s="5" t="s">
        <v>1134</v>
      </c>
      <c r="C25" s="29" t="s">
        <v>862</v>
      </c>
      <c r="D25" s="5" t="s">
        <v>1086</v>
      </c>
      <c r="E25" s="27">
        <v>0</v>
      </c>
      <c r="F25" s="5" t="s">
        <v>823</v>
      </c>
      <c r="G25" s="28">
        <v>1590</v>
      </c>
      <c r="H25" s="5" t="s">
        <v>367</v>
      </c>
      <c r="I25" s="28">
        <v>2500</v>
      </c>
      <c r="J25" s="5" t="s">
        <v>408</v>
      </c>
      <c r="K25" s="28">
        <v>2500</v>
      </c>
      <c r="L25" s="5" t="s">
        <v>631</v>
      </c>
      <c r="M25" s="28">
        <v>2700</v>
      </c>
      <c r="N25" s="5" t="s">
        <v>1084</v>
      </c>
      <c r="O25" s="27">
        <v>0</v>
      </c>
      <c r="P25" s="5" t="s">
        <v>823</v>
      </c>
      <c r="Q25" s="27">
        <v>0</v>
      </c>
      <c r="R25" s="5"/>
      <c r="S25" s="27">
        <v>0</v>
      </c>
      <c r="T25" s="5" t="s">
        <v>823</v>
      </c>
      <c r="U25" s="27">
        <f>ROUND(IF(MIN(E25,G25,I25,K25,M25,O25,Q25,S25)&lt;0, MIN(E25,G25,I25,K25,M25,O25,Q25,S25), SMALL(E25:T25,COUNTIF(E25:T25,0)+1)) * 공사설정!$C$24 / 100*AL25/ 100, 2)</f>
        <v>1590</v>
      </c>
      <c r="V25" s="27">
        <f>ROUND(0 * 공사설정!$C$25 / 100*AM25/ 100,2)</f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f>ROUND(IF(MIN(W25:AD25)=AVERAGE(W25:AD25), 0, IF(MIN(W25:AD25)&lt;0, MIN(W25:AD25), SMALL(W25:AD25,COUNTIF(W25:AD25,0)+1))) * 공사설정!$C$26 / 100*AN25/ 100,2)</f>
        <v>0</v>
      </c>
      <c r="AF25" s="5" t="s">
        <v>1172</v>
      </c>
      <c r="AG25" s="29" t="s">
        <v>823</v>
      </c>
      <c r="AH25" s="5" t="s">
        <v>823</v>
      </c>
      <c r="AI25" s="5" t="s">
        <v>823</v>
      </c>
      <c r="AK25" s="5" t="s">
        <v>823</v>
      </c>
      <c r="AL25" s="10">
        <v>100</v>
      </c>
      <c r="AM25" s="10">
        <v>100</v>
      </c>
      <c r="AN25" s="11">
        <v>100</v>
      </c>
    </row>
    <row r="26" spans="1:40" ht="30" customHeight="1" x14ac:dyDescent="0.3">
      <c r="A26" s="5" t="s">
        <v>859</v>
      </c>
      <c r="B26" s="5" t="s">
        <v>1011</v>
      </c>
      <c r="C26" s="29" t="s">
        <v>263</v>
      </c>
      <c r="D26" s="5" t="s">
        <v>1086</v>
      </c>
      <c r="E26" s="28">
        <v>1100</v>
      </c>
      <c r="F26" s="5" t="s">
        <v>1237</v>
      </c>
      <c r="G26" s="28">
        <v>1400</v>
      </c>
      <c r="H26" s="5" t="s">
        <v>367</v>
      </c>
      <c r="I26" s="27">
        <v>0</v>
      </c>
      <c r="J26" s="5"/>
      <c r="K26" s="28">
        <v>1700</v>
      </c>
      <c r="L26" s="5" t="s">
        <v>591</v>
      </c>
      <c r="M26" s="27">
        <v>0</v>
      </c>
      <c r="N26" s="5"/>
      <c r="O26" s="27">
        <v>0</v>
      </c>
      <c r="P26" s="5" t="s">
        <v>823</v>
      </c>
      <c r="Q26" s="27">
        <v>0</v>
      </c>
      <c r="R26" s="5"/>
      <c r="S26" s="27">
        <v>0</v>
      </c>
      <c r="T26" s="5" t="s">
        <v>823</v>
      </c>
      <c r="U26" s="27">
        <f>ROUND(IF(MIN(E26,G26,I26,K26,M26,O26,Q26,S26)&lt;0, MIN(E26,G26,I26,K26,M26,O26,Q26,S26), SMALL(E26:T26,COUNTIF(E26:T26,0)+1)) * 공사설정!$C$24 / 100*AL26/ 100, 2)</f>
        <v>1100</v>
      </c>
      <c r="V26" s="27">
        <f>ROUND(0 * 공사설정!$C$25 / 100*AM26/ 100,2)</f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f>ROUND(IF(MIN(W26:AD26)=AVERAGE(W26:AD26), 0, IF(MIN(W26:AD26)&lt;0, MIN(W26:AD26), SMALL(W26:AD26,COUNTIF(W26:AD26,0)+1))) * 공사설정!$C$26 / 100*AN26/ 100,2)</f>
        <v>0</v>
      </c>
      <c r="AF26" s="5" t="s">
        <v>784</v>
      </c>
      <c r="AG26" s="29" t="s">
        <v>823</v>
      </c>
      <c r="AH26" s="5" t="s">
        <v>823</v>
      </c>
      <c r="AI26" s="5" t="s">
        <v>823</v>
      </c>
      <c r="AK26" s="5" t="s">
        <v>823</v>
      </c>
      <c r="AL26" s="10">
        <v>100</v>
      </c>
      <c r="AM26" s="10">
        <v>100</v>
      </c>
      <c r="AN26" s="11">
        <v>100</v>
      </c>
    </row>
    <row r="27" spans="1:40" ht="30" customHeight="1" x14ac:dyDescent="0.3">
      <c r="A27" s="5" t="s">
        <v>475</v>
      </c>
      <c r="B27" s="5" t="s">
        <v>1011</v>
      </c>
      <c r="C27" s="29" t="s">
        <v>954</v>
      </c>
      <c r="D27" s="5" t="s">
        <v>1086</v>
      </c>
      <c r="E27" s="27">
        <v>0</v>
      </c>
      <c r="F27" s="5" t="s">
        <v>823</v>
      </c>
      <c r="G27" s="27">
        <v>0</v>
      </c>
      <c r="H27" s="5" t="s">
        <v>823</v>
      </c>
      <c r="I27" s="27">
        <v>0</v>
      </c>
      <c r="J27" s="5"/>
      <c r="K27" s="27">
        <v>0</v>
      </c>
      <c r="L27" s="5" t="s">
        <v>823</v>
      </c>
      <c r="M27" s="27">
        <v>0</v>
      </c>
      <c r="N27" s="5"/>
      <c r="O27" s="28">
        <v>900</v>
      </c>
      <c r="P27" s="5" t="s">
        <v>823</v>
      </c>
      <c r="Q27" s="28">
        <v>900</v>
      </c>
      <c r="R27" s="5" t="s">
        <v>823</v>
      </c>
      <c r="S27" s="27">
        <v>0</v>
      </c>
      <c r="T27" s="5" t="s">
        <v>823</v>
      </c>
      <c r="U27" s="27">
        <f>ROUND(IF(MIN(E27,G27,I27,K27,M27,O27,Q27,S27)&lt;0, MIN(E27,G27,I27,K27,M27,O27,Q27,S27), SMALL(E27:T27,COUNTIF(E27:T27,0)+1)) * 공사설정!$C$24 / 100*AL27/ 100, 2)</f>
        <v>900</v>
      </c>
      <c r="V27" s="27">
        <f>ROUND(0 * 공사설정!$C$25 / 100*AM27/ 100,2)</f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f>ROUND(IF(MIN(W27:AD27)=AVERAGE(W27:AD27), 0, IF(MIN(W27:AD27)&lt;0, MIN(W27:AD27), SMALL(W27:AD27,COUNTIF(W27:AD27,0)+1))) * 공사설정!$C$26 / 100*AN27/ 100,2)</f>
        <v>0</v>
      </c>
      <c r="AF27" s="5" t="s">
        <v>370</v>
      </c>
      <c r="AG27" s="29" t="s">
        <v>823</v>
      </c>
      <c r="AH27" s="5" t="s">
        <v>823</v>
      </c>
      <c r="AI27" s="5" t="s">
        <v>823</v>
      </c>
      <c r="AK27" s="5" t="s">
        <v>823</v>
      </c>
      <c r="AL27" s="10">
        <v>100</v>
      </c>
      <c r="AM27" s="10">
        <v>100</v>
      </c>
      <c r="AN27" s="11">
        <v>100</v>
      </c>
    </row>
    <row r="28" spans="1:40" ht="30" customHeight="1" x14ac:dyDescent="0.3">
      <c r="A28" s="5" t="s">
        <v>81</v>
      </c>
      <c r="B28" s="5" t="s">
        <v>1011</v>
      </c>
      <c r="C28" s="29" t="s">
        <v>878</v>
      </c>
      <c r="D28" s="5" t="s">
        <v>1086</v>
      </c>
      <c r="E28" s="28">
        <v>31315</v>
      </c>
      <c r="F28" s="5" t="s">
        <v>1237</v>
      </c>
      <c r="G28" s="28">
        <v>30000</v>
      </c>
      <c r="H28" s="5" t="s">
        <v>367</v>
      </c>
      <c r="I28" s="27">
        <v>0</v>
      </c>
      <c r="J28" s="5"/>
      <c r="K28" s="28">
        <v>34400</v>
      </c>
      <c r="L28" s="5" t="s">
        <v>591</v>
      </c>
      <c r="M28" s="28">
        <v>43200</v>
      </c>
      <c r="N28" s="5" t="s">
        <v>1084</v>
      </c>
      <c r="O28" s="27">
        <v>0</v>
      </c>
      <c r="P28" s="5" t="s">
        <v>823</v>
      </c>
      <c r="Q28" s="27">
        <v>0</v>
      </c>
      <c r="R28" s="5"/>
      <c r="S28" s="27">
        <v>0</v>
      </c>
      <c r="T28" s="5" t="s">
        <v>823</v>
      </c>
      <c r="U28" s="27">
        <f>ROUND(IF(MIN(E28,G28,I28,K28,M28,O28,Q28,S28)&lt;0, MIN(E28,G28,I28,K28,M28,O28,Q28,S28), SMALL(E28:T28,COUNTIF(E28:T28,0)+1)) * 공사설정!$C$24 / 100*AL28/ 100, 2)</f>
        <v>30000</v>
      </c>
      <c r="V28" s="27">
        <f>ROUND(0 * 공사설정!$C$25 / 100*AM28/ 100,2)</f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f>ROUND(IF(MIN(W28:AD28)=AVERAGE(W28:AD28), 0, IF(MIN(W28:AD28)&lt;0, MIN(W28:AD28), SMALL(W28:AD28,COUNTIF(W28:AD28,0)+1))) * 공사설정!$C$26 / 100*AN28/ 100,2)</f>
        <v>0</v>
      </c>
      <c r="AF28" s="5" t="s">
        <v>827</v>
      </c>
      <c r="AG28" s="29" t="s">
        <v>823</v>
      </c>
      <c r="AH28" s="5" t="s">
        <v>823</v>
      </c>
      <c r="AI28" s="5" t="s">
        <v>823</v>
      </c>
      <c r="AK28" s="5" t="s">
        <v>823</v>
      </c>
      <c r="AL28" s="10">
        <v>100</v>
      </c>
      <c r="AM28" s="10">
        <v>100</v>
      </c>
      <c r="AN28" s="11">
        <v>100</v>
      </c>
    </row>
    <row r="29" spans="1:40" ht="30" customHeight="1" x14ac:dyDescent="0.3">
      <c r="A29" s="5" t="s">
        <v>950</v>
      </c>
      <c r="B29" s="5" t="s">
        <v>1011</v>
      </c>
      <c r="C29" s="29" t="s">
        <v>1062</v>
      </c>
      <c r="D29" s="5" t="s">
        <v>1086</v>
      </c>
      <c r="E29" s="28">
        <v>27630</v>
      </c>
      <c r="F29" s="5" t="s">
        <v>1237</v>
      </c>
      <c r="G29" s="27">
        <v>0</v>
      </c>
      <c r="H29" s="5" t="s">
        <v>823</v>
      </c>
      <c r="I29" s="27">
        <v>0</v>
      </c>
      <c r="J29" s="5"/>
      <c r="K29" s="28">
        <v>30000</v>
      </c>
      <c r="L29" s="5" t="s">
        <v>591</v>
      </c>
      <c r="M29" s="28">
        <v>41000</v>
      </c>
      <c r="N29" s="5" t="s">
        <v>1084</v>
      </c>
      <c r="O29" s="27">
        <v>0</v>
      </c>
      <c r="P29" s="5" t="s">
        <v>823</v>
      </c>
      <c r="Q29" s="27">
        <v>0</v>
      </c>
      <c r="R29" s="5"/>
      <c r="S29" s="27">
        <v>0</v>
      </c>
      <c r="T29" s="5" t="s">
        <v>823</v>
      </c>
      <c r="U29" s="27">
        <f>ROUND(IF(MIN(E29,G29,I29,K29,M29,O29,Q29,S29)&lt;0, MIN(E29,G29,I29,K29,M29,O29,Q29,S29), SMALL(E29:T29,COUNTIF(E29:T29,0)+1)) * 공사설정!$C$24 / 100*AL29/ 100, 2)</f>
        <v>27630</v>
      </c>
      <c r="V29" s="27">
        <f>ROUND(0 * 공사설정!$C$25 / 100*AM29/ 100,2)</f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f>ROUND(IF(MIN(W29:AD29)=AVERAGE(W29:AD29), 0, IF(MIN(W29:AD29)&lt;0, MIN(W29:AD29), SMALL(W29:AD29,COUNTIF(W29:AD29,0)+1))) * 공사설정!$C$26 / 100*AN29/ 100,2)</f>
        <v>0</v>
      </c>
      <c r="AF29" s="5" t="s">
        <v>1309</v>
      </c>
      <c r="AG29" s="29" t="s">
        <v>823</v>
      </c>
      <c r="AH29" s="5" t="s">
        <v>823</v>
      </c>
      <c r="AI29" s="5" t="s">
        <v>823</v>
      </c>
      <c r="AK29" s="5" t="s">
        <v>823</v>
      </c>
      <c r="AL29" s="10">
        <v>100</v>
      </c>
      <c r="AM29" s="10">
        <v>100</v>
      </c>
      <c r="AN29" s="11">
        <v>100</v>
      </c>
    </row>
    <row r="30" spans="1:40" ht="30" customHeight="1" x14ac:dyDescent="0.3">
      <c r="A30" s="5" t="s">
        <v>597</v>
      </c>
      <c r="B30" s="5" t="s">
        <v>1011</v>
      </c>
      <c r="C30" s="29" t="s">
        <v>629</v>
      </c>
      <c r="D30" s="5" t="s">
        <v>1086</v>
      </c>
      <c r="E30" s="28">
        <v>9209</v>
      </c>
      <c r="F30" s="5" t="s">
        <v>1237</v>
      </c>
      <c r="G30" s="28">
        <v>10000</v>
      </c>
      <c r="H30" s="5" t="s">
        <v>367</v>
      </c>
      <c r="I30" s="27">
        <v>0</v>
      </c>
      <c r="J30" s="5"/>
      <c r="K30" s="27">
        <v>0</v>
      </c>
      <c r="L30" s="5" t="s">
        <v>823</v>
      </c>
      <c r="M30" s="28">
        <v>11600</v>
      </c>
      <c r="N30" s="5" t="s">
        <v>1084</v>
      </c>
      <c r="O30" s="27">
        <v>0</v>
      </c>
      <c r="P30" s="5" t="s">
        <v>823</v>
      </c>
      <c r="Q30" s="27">
        <v>0</v>
      </c>
      <c r="R30" s="5"/>
      <c r="S30" s="27">
        <v>0</v>
      </c>
      <c r="T30" s="5" t="s">
        <v>823</v>
      </c>
      <c r="U30" s="27">
        <f>ROUND(IF(MIN(E30,G30,I30,K30,M30,O30,Q30,S30)&lt;0, MIN(E30,G30,I30,K30,M30,O30,Q30,S30), SMALL(E30:T30,COUNTIF(E30:T30,0)+1)) * 공사설정!$C$24 / 100*AL30/ 100, 2)</f>
        <v>9209</v>
      </c>
      <c r="V30" s="27">
        <f>ROUND(0 * 공사설정!$C$25 / 100*AM30/ 100,2)</f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f>ROUND(IF(MIN(W30:AD30)=AVERAGE(W30:AD30), 0, IF(MIN(W30:AD30)&lt;0, MIN(W30:AD30), SMALL(W30:AD30,COUNTIF(W30:AD30,0)+1))) * 공사설정!$C$26 / 100*AN30/ 100,2)</f>
        <v>0</v>
      </c>
      <c r="AF30" s="5" t="s">
        <v>258</v>
      </c>
      <c r="AG30" s="29" t="s">
        <v>823</v>
      </c>
      <c r="AH30" s="5" t="s">
        <v>823</v>
      </c>
      <c r="AI30" s="5" t="s">
        <v>823</v>
      </c>
      <c r="AK30" s="5" t="s">
        <v>823</v>
      </c>
      <c r="AL30" s="10">
        <v>100</v>
      </c>
      <c r="AM30" s="10">
        <v>100</v>
      </c>
      <c r="AN30" s="11">
        <v>100</v>
      </c>
    </row>
    <row r="31" spans="1:40" ht="30" customHeight="1" x14ac:dyDescent="0.3">
      <c r="A31" s="5" t="s">
        <v>160</v>
      </c>
      <c r="B31" s="5" t="s">
        <v>1011</v>
      </c>
      <c r="C31" s="29" t="s">
        <v>22</v>
      </c>
      <c r="D31" s="5" t="s">
        <v>1086</v>
      </c>
      <c r="E31" s="27">
        <v>0</v>
      </c>
      <c r="F31" s="5" t="s">
        <v>823</v>
      </c>
      <c r="G31" s="27">
        <v>0</v>
      </c>
      <c r="H31" s="5" t="s">
        <v>823</v>
      </c>
      <c r="I31" s="27">
        <v>0</v>
      </c>
      <c r="J31" s="5"/>
      <c r="K31" s="28">
        <v>4000</v>
      </c>
      <c r="L31" s="5" t="s">
        <v>631</v>
      </c>
      <c r="M31" s="28">
        <v>13900</v>
      </c>
      <c r="N31" s="5" t="s">
        <v>1084</v>
      </c>
      <c r="O31" s="27">
        <v>0</v>
      </c>
      <c r="P31" s="5" t="s">
        <v>823</v>
      </c>
      <c r="Q31" s="27">
        <v>0</v>
      </c>
      <c r="R31" s="5"/>
      <c r="S31" s="27">
        <v>0</v>
      </c>
      <c r="T31" s="5" t="s">
        <v>823</v>
      </c>
      <c r="U31" s="27">
        <f>ROUND(IF(MIN(E31,G31,I31,K31,M31,O31,Q31,S31)&lt;0, MIN(E31,G31,I31,K31,M31,O31,Q31,S31), SMALL(E31:T31,COUNTIF(E31:T31,0)+1)) * 공사설정!$C$24 / 100*AL31/ 100, 2)</f>
        <v>4000</v>
      </c>
      <c r="V31" s="27">
        <f>ROUND(0 * 공사설정!$C$25 / 100*AM31/ 100,2)</f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f>ROUND(IF(MIN(W31:AD31)=AVERAGE(W31:AD31), 0, IF(MIN(W31:AD31)&lt;0, MIN(W31:AD31), SMALL(W31:AD31,COUNTIF(W31:AD31,0)+1))) * 공사설정!$C$26 / 100*AN31/ 100,2)</f>
        <v>0</v>
      </c>
      <c r="AF31" s="5" t="s">
        <v>79</v>
      </c>
      <c r="AG31" s="29" t="s">
        <v>823</v>
      </c>
      <c r="AH31" s="5" t="s">
        <v>823</v>
      </c>
      <c r="AI31" s="5" t="s">
        <v>823</v>
      </c>
      <c r="AK31" s="5" t="s">
        <v>823</v>
      </c>
      <c r="AL31" s="10">
        <v>100</v>
      </c>
      <c r="AM31" s="10">
        <v>100</v>
      </c>
      <c r="AN31" s="11">
        <v>100</v>
      </c>
    </row>
    <row r="32" spans="1:40" ht="30" customHeight="1" x14ac:dyDescent="0.3">
      <c r="A32" s="5" t="s">
        <v>251</v>
      </c>
      <c r="B32" s="5" t="s">
        <v>1011</v>
      </c>
      <c r="C32" s="29" t="s">
        <v>999</v>
      </c>
      <c r="D32" s="5" t="s">
        <v>1086</v>
      </c>
      <c r="E32" s="27">
        <v>0</v>
      </c>
      <c r="F32" s="5" t="s">
        <v>823</v>
      </c>
      <c r="G32" s="27">
        <v>0</v>
      </c>
      <c r="H32" s="5" t="s">
        <v>823</v>
      </c>
      <c r="I32" s="27">
        <v>0</v>
      </c>
      <c r="J32" s="5"/>
      <c r="K32" s="27">
        <v>0</v>
      </c>
      <c r="L32" s="5" t="s">
        <v>823</v>
      </c>
      <c r="M32" s="27">
        <v>0</v>
      </c>
      <c r="N32" s="5"/>
      <c r="O32" s="27">
        <v>0</v>
      </c>
      <c r="P32" s="5" t="s">
        <v>823</v>
      </c>
      <c r="Q32" s="27">
        <v>0</v>
      </c>
      <c r="R32" s="5"/>
      <c r="S32" s="27">
        <v>0</v>
      </c>
      <c r="T32" s="5" t="s">
        <v>823</v>
      </c>
      <c r="U32" s="27">
        <f>0*AL32/ 100</f>
        <v>0</v>
      </c>
      <c r="V32" s="27">
        <f>ROUND(0 * 공사설정!$C$25 / 100*AM32/ 100,2)</f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f>ROUND(IF(MIN(W32:AD32)=AVERAGE(W32:AD32), 0, IF(MIN(W32:AD32)&lt;0, MIN(W32:AD32), SMALL(W32:AD32,COUNTIF(W32:AD32,0)+1))) * 공사설정!$C$26 / 100*AN32/ 100,2)</f>
        <v>0</v>
      </c>
      <c r="AF32" s="5" t="s">
        <v>106</v>
      </c>
      <c r="AG32" s="29" t="s">
        <v>823</v>
      </c>
      <c r="AH32" s="5" t="s">
        <v>823</v>
      </c>
      <c r="AI32" s="5" t="s">
        <v>823</v>
      </c>
      <c r="AK32" s="5" t="s">
        <v>823</v>
      </c>
      <c r="AL32" s="10">
        <v>100</v>
      </c>
      <c r="AM32" s="10">
        <v>100</v>
      </c>
      <c r="AN32" s="11">
        <v>100</v>
      </c>
    </row>
    <row r="33" spans="1:40" ht="30" customHeight="1" x14ac:dyDescent="0.3">
      <c r="A33" s="5" t="s">
        <v>1299</v>
      </c>
      <c r="B33" s="5" t="s">
        <v>1011</v>
      </c>
      <c r="C33" s="29" t="s">
        <v>1191</v>
      </c>
      <c r="D33" s="5" t="s">
        <v>1086</v>
      </c>
      <c r="E33" s="27">
        <v>0</v>
      </c>
      <c r="F33" s="5" t="s">
        <v>823</v>
      </c>
      <c r="G33" s="28">
        <v>25000</v>
      </c>
      <c r="H33" s="5" t="s">
        <v>367</v>
      </c>
      <c r="I33" s="27">
        <v>0</v>
      </c>
      <c r="J33" s="5"/>
      <c r="K33" s="28">
        <v>30000</v>
      </c>
      <c r="L33" s="5" t="s">
        <v>591</v>
      </c>
      <c r="M33" s="28">
        <v>25400</v>
      </c>
      <c r="N33" s="5" t="s">
        <v>587</v>
      </c>
      <c r="O33" s="27">
        <v>0</v>
      </c>
      <c r="P33" s="5" t="s">
        <v>823</v>
      </c>
      <c r="Q33" s="27">
        <v>0</v>
      </c>
      <c r="R33" s="5"/>
      <c r="S33" s="27">
        <v>0</v>
      </c>
      <c r="T33" s="5" t="s">
        <v>823</v>
      </c>
      <c r="U33" s="27">
        <f>ROUND(IF(MIN(E33,G33,I33,K33,M33,O33,Q33,S33)&lt;0, MIN(E33,G33,I33,K33,M33,O33,Q33,S33), SMALL(E33:T33,COUNTIF(E33:T33,0)+1)) * 공사설정!$C$24 / 100*AL33/ 100, 2)</f>
        <v>25000</v>
      </c>
      <c r="V33" s="27">
        <f>ROUND(0 * 공사설정!$C$25 / 100*AM33/ 100,2)</f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f>ROUND(IF(MIN(W33:AD33)=AVERAGE(W33:AD33), 0, IF(MIN(W33:AD33)&lt;0, MIN(W33:AD33), SMALL(W33:AD33,COUNTIF(W33:AD33,0)+1))) * 공사설정!$C$26 / 100*AN33/ 100,2)</f>
        <v>0</v>
      </c>
      <c r="AF33" s="5" t="s">
        <v>100</v>
      </c>
      <c r="AG33" s="29" t="s">
        <v>823</v>
      </c>
      <c r="AH33" s="5" t="s">
        <v>823</v>
      </c>
      <c r="AI33" s="5" t="s">
        <v>823</v>
      </c>
      <c r="AK33" s="5" t="s">
        <v>823</v>
      </c>
      <c r="AL33" s="10">
        <v>100</v>
      </c>
      <c r="AM33" s="10">
        <v>100</v>
      </c>
      <c r="AN33" s="11">
        <v>100</v>
      </c>
    </row>
    <row r="34" spans="1:40" ht="30" customHeight="1" x14ac:dyDescent="0.3">
      <c r="A34" s="5" t="s">
        <v>471</v>
      </c>
      <c r="B34" s="5" t="s">
        <v>1011</v>
      </c>
      <c r="C34" s="29" t="s">
        <v>610</v>
      </c>
      <c r="D34" s="5" t="s">
        <v>1086</v>
      </c>
      <c r="E34" s="27">
        <v>0</v>
      </c>
      <c r="F34" s="5" t="s">
        <v>823</v>
      </c>
      <c r="G34" s="28">
        <v>8000</v>
      </c>
      <c r="H34" s="5" t="s">
        <v>587</v>
      </c>
      <c r="I34" s="27">
        <v>0</v>
      </c>
      <c r="J34" s="5"/>
      <c r="K34" s="28">
        <v>10800</v>
      </c>
      <c r="L34" s="5" t="s">
        <v>869</v>
      </c>
      <c r="M34" s="27">
        <v>0</v>
      </c>
      <c r="N34" s="5"/>
      <c r="O34" s="28">
        <v>1440</v>
      </c>
      <c r="P34" s="5" t="s">
        <v>823</v>
      </c>
      <c r="Q34" s="27">
        <v>0</v>
      </c>
      <c r="R34" s="5"/>
      <c r="S34" s="27">
        <v>0</v>
      </c>
      <c r="T34" s="5" t="s">
        <v>823</v>
      </c>
      <c r="U34" s="27">
        <f>ROUND(IF(MIN(E34,G34,I34,K34,M34,O34,Q34,S34)&lt;0, MIN(E34,G34,I34,K34,M34,O34,Q34,S34), SMALL(E34:T34,COUNTIF(E34:T34,0)+1)) * 공사설정!$C$24 / 100*AL34/ 100, 2)</f>
        <v>1440</v>
      </c>
      <c r="V34" s="27">
        <f>ROUND(0 * 공사설정!$C$25 / 100*AM34/ 100,2)</f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f>ROUND(IF(MIN(W34:AD34)=AVERAGE(W34:AD34), 0, IF(MIN(W34:AD34)&lt;0, MIN(W34:AD34), SMALL(W34:AD34,COUNTIF(W34:AD34,0)+1))) * 공사설정!$C$26 / 100*AN34/ 100,2)</f>
        <v>0</v>
      </c>
      <c r="AF34" s="5" t="s">
        <v>814</v>
      </c>
      <c r="AG34" s="29" t="s">
        <v>823</v>
      </c>
      <c r="AH34" s="5" t="s">
        <v>823</v>
      </c>
      <c r="AI34" s="5" t="s">
        <v>823</v>
      </c>
      <c r="AK34" s="5" t="s">
        <v>823</v>
      </c>
      <c r="AL34" s="10">
        <v>100</v>
      </c>
      <c r="AM34" s="10">
        <v>100</v>
      </c>
      <c r="AN34" s="11">
        <v>100</v>
      </c>
    </row>
    <row r="35" spans="1:40" ht="30" customHeight="1" x14ac:dyDescent="0.3">
      <c r="A35" s="5" t="s">
        <v>1190</v>
      </c>
      <c r="B35" s="5" t="s">
        <v>1011</v>
      </c>
      <c r="C35" s="29" t="s">
        <v>1144</v>
      </c>
      <c r="D35" s="5" t="s">
        <v>1086</v>
      </c>
      <c r="E35" s="27">
        <v>0</v>
      </c>
      <c r="F35" s="5" t="s">
        <v>823</v>
      </c>
      <c r="G35" s="28">
        <v>10000</v>
      </c>
      <c r="H35" s="5" t="s">
        <v>587</v>
      </c>
      <c r="I35" s="27">
        <v>0</v>
      </c>
      <c r="J35" s="5"/>
      <c r="K35" s="28">
        <v>13500</v>
      </c>
      <c r="L35" s="5" t="s">
        <v>869</v>
      </c>
      <c r="M35" s="27">
        <v>0</v>
      </c>
      <c r="N35" s="5"/>
      <c r="O35" s="28">
        <v>2100</v>
      </c>
      <c r="P35" s="5" t="s">
        <v>823</v>
      </c>
      <c r="Q35" s="27">
        <v>0</v>
      </c>
      <c r="R35" s="5"/>
      <c r="S35" s="27">
        <v>0</v>
      </c>
      <c r="T35" s="5" t="s">
        <v>823</v>
      </c>
      <c r="U35" s="27">
        <f>ROUND(IF(MIN(E35,G35,I35,K35,M35,O35,Q35,S35)&lt;0, MIN(E35,G35,I35,K35,M35,O35,Q35,S35), SMALL(E35:T35,COUNTIF(E35:T35,0)+1)) * 공사설정!$C$24 / 100*AL35/ 100, 2)</f>
        <v>2100</v>
      </c>
      <c r="V35" s="27">
        <f>ROUND(0 * 공사설정!$C$25 / 100*AM35/ 100,2)</f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f>ROUND(IF(MIN(W35:AD35)=AVERAGE(W35:AD35), 0, IF(MIN(W35:AD35)&lt;0, MIN(W35:AD35), SMALL(W35:AD35,COUNTIF(W35:AD35,0)+1))) * 공사설정!$C$26 / 100*AN35/ 100,2)</f>
        <v>0</v>
      </c>
      <c r="AF35" s="5" t="s">
        <v>1137</v>
      </c>
      <c r="AG35" s="29" t="s">
        <v>823</v>
      </c>
      <c r="AH35" s="5" t="s">
        <v>823</v>
      </c>
      <c r="AI35" s="5" t="s">
        <v>823</v>
      </c>
      <c r="AK35" s="5" t="s">
        <v>823</v>
      </c>
      <c r="AL35" s="10">
        <v>100</v>
      </c>
      <c r="AM35" s="10">
        <v>100</v>
      </c>
      <c r="AN35" s="11">
        <v>100</v>
      </c>
    </row>
    <row r="36" spans="1:40" ht="30" customHeight="1" x14ac:dyDescent="0.3">
      <c r="A36" s="5" t="s">
        <v>901</v>
      </c>
      <c r="B36" s="5" t="s">
        <v>1011</v>
      </c>
      <c r="C36" s="29" t="s">
        <v>810</v>
      </c>
      <c r="D36" s="5" t="s">
        <v>1086</v>
      </c>
      <c r="E36" s="27">
        <v>0</v>
      </c>
      <c r="F36" s="5" t="s">
        <v>823</v>
      </c>
      <c r="G36" s="28">
        <v>15000</v>
      </c>
      <c r="H36" s="5" t="s">
        <v>587</v>
      </c>
      <c r="I36" s="27">
        <v>0</v>
      </c>
      <c r="J36" s="5"/>
      <c r="K36" s="28">
        <v>22400</v>
      </c>
      <c r="L36" s="5" t="s">
        <v>869</v>
      </c>
      <c r="M36" s="27">
        <v>0</v>
      </c>
      <c r="N36" s="5"/>
      <c r="O36" s="28">
        <v>5700</v>
      </c>
      <c r="P36" s="5" t="s">
        <v>823</v>
      </c>
      <c r="Q36" s="27">
        <v>0</v>
      </c>
      <c r="R36" s="5"/>
      <c r="S36" s="27">
        <v>0</v>
      </c>
      <c r="T36" s="5" t="s">
        <v>823</v>
      </c>
      <c r="U36" s="27">
        <f>ROUND(IF(MIN(E36,G36,I36,K36,M36,O36,Q36,S36)&lt;0, MIN(E36,G36,I36,K36,M36,O36,Q36,S36), SMALL(E36:T36,COUNTIF(E36:T36,0)+1)) * 공사설정!$C$24 / 100*AL36/ 100, 2)</f>
        <v>5700</v>
      </c>
      <c r="V36" s="27">
        <f>ROUND(0 * 공사설정!$C$25 / 100*AM36/ 100,2)</f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f>ROUND(IF(MIN(W36:AD36)=AVERAGE(W36:AD36), 0, IF(MIN(W36:AD36)&lt;0, MIN(W36:AD36), SMALL(W36:AD36,COUNTIF(W36:AD36,0)+1))) * 공사설정!$C$26 / 100*AN36/ 100,2)</f>
        <v>0</v>
      </c>
      <c r="AF36" s="5" t="s">
        <v>895</v>
      </c>
      <c r="AG36" s="29" t="s">
        <v>823</v>
      </c>
      <c r="AH36" s="5" t="s">
        <v>823</v>
      </c>
      <c r="AI36" s="5" t="s">
        <v>823</v>
      </c>
      <c r="AK36" s="5" t="s">
        <v>823</v>
      </c>
      <c r="AL36" s="10">
        <v>100</v>
      </c>
      <c r="AM36" s="10">
        <v>100</v>
      </c>
      <c r="AN36" s="11">
        <v>100</v>
      </c>
    </row>
    <row r="37" spans="1:40" ht="30" customHeight="1" x14ac:dyDescent="0.3">
      <c r="A37" s="5" t="s">
        <v>709</v>
      </c>
      <c r="B37" s="5" t="s">
        <v>1011</v>
      </c>
      <c r="C37" s="29" t="s">
        <v>590</v>
      </c>
      <c r="D37" s="5" t="s">
        <v>1086</v>
      </c>
      <c r="E37" s="27">
        <v>0</v>
      </c>
      <c r="F37" s="5" t="s">
        <v>823</v>
      </c>
      <c r="G37" s="28">
        <v>9500</v>
      </c>
      <c r="H37" s="5" t="s">
        <v>367</v>
      </c>
      <c r="I37" s="27">
        <v>0</v>
      </c>
      <c r="J37" s="5"/>
      <c r="K37" s="28">
        <v>11000</v>
      </c>
      <c r="L37" s="5" t="s">
        <v>1260</v>
      </c>
      <c r="M37" s="27">
        <v>0</v>
      </c>
      <c r="N37" s="5"/>
      <c r="O37" s="27">
        <v>0</v>
      </c>
      <c r="P37" s="5" t="s">
        <v>823</v>
      </c>
      <c r="Q37" s="27">
        <v>0</v>
      </c>
      <c r="R37" s="5"/>
      <c r="S37" s="27">
        <v>0</v>
      </c>
      <c r="T37" s="5" t="s">
        <v>823</v>
      </c>
      <c r="U37" s="27">
        <f>ROUND(IF(MIN(E37,G37,I37,K37,M37,O37,Q37,S37)&lt;0, MIN(E37,G37,I37,K37,M37,O37,Q37,S37), SMALL(E37:T37,COUNTIF(E37:T37,0)+1)) * 공사설정!$C$24 / 100*AL37/ 100, 2)</f>
        <v>9500</v>
      </c>
      <c r="V37" s="27">
        <f>ROUND(0 * 공사설정!$C$25 / 100*AM37/ 100,2)</f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f>ROUND(IF(MIN(W37:AD37)=AVERAGE(W37:AD37), 0, IF(MIN(W37:AD37)&lt;0, MIN(W37:AD37), SMALL(W37:AD37,COUNTIF(W37:AD37,0)+1))) * 공사설정!$C$26 / 100*AN37/ 100,2)</f>
        <v>0</v>
      </c>
      <c r="AF37" s="5" t="s">
        <v>1259</v>
      </c>
      <c r="AG37" s="29" t="s">
        <v>823</v>
      </c>
      <c r="AH37" s="5" t="s">
        <v>823</v>
      </c>
      <c r="AI37" s="5" t="s">
        <v>823</v>
      </c>
      <c r="AK37" s="5" t="s">
        <v>823</v>
      </c>
      <c r="AL37" s="10">
        <v>100</v>
      </c>
      <c r="AM37" s="10">
        <v>100</v>
      </c>
      <c r="AN37" s="11">
        <v>100</v>
      </c>
    </row>
    <row r="38" spans="1:40" ht="30" customHeight="1" x14ac:dyDescent="0.3">
      <c r="A38" s="5" t="s">
        <v>1215</v>
      </c>
      <c r="B38" s="5" t="s">
        <v>1011</v>
      </c>
      <c r="C38" s="29" t="s">
        <v>270</v>
      </c>
      <c r="D38" s="5" t="s">
        <v>1086</v>
      </c>
      <c r="E38" s="27">
        <v>0</v>
      </c>
      <c r="F38" s="5" t="s">
        <v>823</v>
      </c>
      <c r="G38" s="28">
        <v>11000</v>
      </c>
      <c r="H38" s="5" t="s">
        <v>367</v>
      </c>
      <c r="I38" s="27">
        <v>0</v>
      </c>
      <c r="J38" s="5"/>
      <c r="K38" s="28">
        <v>10000</v>
      </c>
      <c r="L38" s="5" t="s">
        <v>740</v>
      </c>
      <c r="M38" s="28">
        <v>13800</v>
      </c>
      <c r="N38" s="5" t="s">
        <v>1084</v>
      </c>
      <c r="O38" s="27">
        <v>0</v>
      </c>
      <c r="P38" s="5" t="s">
        <v>823</v>
      </c>
      <c r="Q38" s="27">
        <v>0</v>
      </c>
      <c r="R38" s="5"/>
      <c r="S38" s="27">
        <v>0</v>
      </c>
      <c r="T38" s="5" t="s">
        <v>823</v>
      </c>
      <c r="U38" s="27">
        <f>ROUND(IF(MIN(E38,G38,I38,K38,M38,O38,Q38,S38)&lt;0, MIN(E38,G38,I38,K38,M38,O38,Q38,S38), SMALL(E38:T38,COUNTIF(E38:T38,0)+1)) * 공사설정!$C$24 / 100*AL38/ 100, 2)</f>
        <v>10000</v>
      </c>
      <c r="V38" s="27">
        <f>ROUND(0 * 공사설정!$C$25 / 100*AM38/ 100,2)</f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f>ROUND(IF(MIN(W38:AD38)=AVERAGE(W38:AD38), 0, IF(MIN(W38:AD38)&lt;0, MIN(W38:AD38), SMALL(W38:AD38,COUNTIF(W38:AD38,0)+1))) * 공사설정!$C$26 / 100*AN38/ 100,2)</f>
        <v>0</v>
      </c>
      <c r="AF38" s="5" t="s">
        <v>690</v>
      </c>
      <c r="AG38" s="29" t="s">
        <v>823</v>
      </c>
      <c r="AH38" s="5" t="s">
        <v>823</v>
      </c>
      <c r="AI38" s="5" t="s">
        <v>823</v>
      </c>
      <c r="AK38" s="5" t="s">
        <v>823</v>
      </c>
      <c r="AL38" s="10">
        <v>100</v>
      </c>
      <c r="AM38" s="10">
        <v>100</v>
      </c>
      <c r="AN38" s="11">
        <v>100</v>
      </c>
    </row>
    <row r="39" spans="1:40" ht="30" customHeight="1" x14ac:dyDescent="0.3">
      <c r="A39" s="5" t="s">
        <v>596</v>
      </c>
      <c r="B39" s="5" t="s">
        <v>1011</v>
      </c>
      <c r="C39" s="29" t="s">
        <v>918</v>
      </c>
      <c r="D39" s="5" t="s">
        <v>986</v>
      </c>
      <c r="E39" s="27">
        <v>0</v>
      </c>
      <c r="F39" s="5" t="s">
        <v>823</v>
      </c>
      <c r="G39" s="28">
        <v>10250</v>
      </c>
      <c r="H39" s="5" t="s">
        <v>928</v>
      </c>
      <c r="I39" s="27">
        <v>0</v>
      </c>
      <c r="J39" s="5"/>
      <c r="K39" s="27">
        <v>0</v>
      </c>
      <c r="L39" s="5" t="s">
        <v>823</v>
      </c>
      <c r="M39" s="27">
        <v>0</v>
      </c>
      <c r="N39" s="5"/>
      <c r="O39" s="28">
        <v>24900</v>
      </c>
      <c r="P39" s="5" t="s">
        <v>1140</v>
      </c>
      <c r="Q39" s="27">
        <v>0</v>
      </c>
      <c r="R39" s="5"/>
      <c r="S39" s="27">
        <v>0</v>
      </c>
      <c r="T39" s="5" t="s">
        <v>823</v>
      </c>
      <c r="U39" s="27">
        <f>ROUND(IF(MIN(E39,G39,I39,K39,M39,O39,Q39,S39)&lt;0, MIN(E39,G39,I39,K39,M39,O39,Q39,S39), SMALL(E39:T39,COUNTIF(E39:T39,0)+1)) * 공사설정!$C$24 / 100*AL39/ 100, 2)</f>
        <v>10250</v>
      </c>
      <c r="V39" s="27">
        <f>ROUND(0 * 공사설정!$C$25 / 100*AM39/ 100,2)</f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f>ROUND(IF(MIN(W39:AD39)=AVERAGE(W39:AD39), 0, IF(MIN(W39:AD39)&lt;0, MIN(W39:AD39), SMALL(W39:AD39,COUNTIF(W39:AD39,0)+1))) * 공사설정!$C$26 / 100*AN39/ 100,2)</f>
        <v>0</v>
      </c>
      <c r="AF39" s="5" t="s">
        <v>748</v>
      </c>
      <c r="AG39" s="29" t="s">
        <v>823</v>
      </c>
      <c r="AH39" s="5" t="s">
        <v>823</v>
      </c>
      <c r="AI39" s="5" t="s">
        <v>823</v>
      </c>
      <c r="AK39" s="5" t="s">
        <v>823</v>
      </c>
      <c r="AL39" s="10">
        <v>100</v>
      </c>
      <c r="AM39" s="10">
        <v>100</v>
      </c>
      <c r="AN39" s="11">
        <v>100</v>
      </c>
    </row>
    <row r="40" spans="1:40" ht="30" customHeight="1" x14ac:dyDescent="0.3">
      <c r="A40" s="5" t="s">
        <v>1214</v>
      </c>
      <c r="B40" s="5" t="s">
        <v>1318</v>
      </c>
      <c r="C40" s="29" t="s">
        <v>215</v>
      </c>
      <c r="D40" s="5" t="s">
        <v>554</v>
      </c>
      <c r="E40" s="28">
        <v>29564</v>
      </c>
      <c r="F40" s="5" t="s">
        <v>823</v>
      </c>
      <c r="G40" s="28">
        <v>11280</v>
      </c>
      <c r="H40" s="5" t="s">
        <v>977</v>
      </c>
      <c r="I40" s="27">
        <v>0</v>
      </c>
      <c r="J40" s="5"/>
      <c r="K40" s="27">
        <v>0</v>
      </c>
      <c r="L40" s="5" t="s">
        <v>823</v>
      </c>
      <c r="M40" s="27">
        <v>0</v>
      </c>
      <c r="N40" s="5"/>
      <c r="O40" s="27">
        <v>0</v>
      </c>
      <c r="P40" s="5" t="s">
        <v>823</v>
      </c>
      <c r="Q40" s="27">
        <v>0</v>
      </c>
      <c r="R40" s="5"/>
      <c r="S40" s="27">
        <v>0</v>
      </c>
      <c r="T40" s="5" t="s">
        <v>823</v>
      </c>
      <c r="U40" s="27">
        <f>ROUND(IF(MIN(E40,G40,I40,K40,M40,O40,Q40,S40)&lt;0, MIN(E40,G40,I40,K40,M40,O40,Q40,S40), SMALL(E40:T40,COUNTIF(E40:T40,0)+1)) * 공사설정!$C$24 / 100*AL40/ 100, 2)</f>
        <v>11280</v>
      </c>
      <c r="V40" s="27">
        <f>ROUND(0 * 공사설정!$C$25 / 100*AM40/ 100,2)</f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f>ROUND(IF(MIN(W40:AD40)=AVERAGE(W40:AD40), 0, IF(MIN(W40:AD40)&lt;0, MIN(W40:AD40), SMALL(W40:AD40,COUNTIF(W40:AD40,0)+1))) * 공사설정!$C$26 / 100*AN40/ 100,2)</f>
        <v>0</v>
      </c>
      <c r="AF40" s="5" t="s">
        <v>372</v>
      </c>
      <c r="AG40" s="29" t="s">
        <v>823</v>
      </c>
      <c r="AH40" s="5" t="s">
        <v>823</v>
      </c>
      <c r="AI40" s="5" t="s">
        <v>823</v>
      </c>
      <c r="AK40" s="5" t="s">
        <v>1281</v>
      </c>
      <c r="AL40" s="10">
        <v>100</v>
      </c>
      <c r="AM40" s="10">
        <v>100</v>
      </c>
      <c r="AN40" s="11">
        <v>100</v>
      </c>
    </row>
    <row r="41" spans="1:40" ht="30" customHeight="1" x14ac:dyDescent="0.3">
      <c r="A41" s="5" t="s">
        <v>816</v>
      </c>
      <c r="B41" s="5" t="s">
        <v>1318</v>
      </c>
      <c r="C41" s="29" t="s">
        <v>769</v>
      </c>
      <c r="D41" s="5" t="s">
        <v>1086</v>
      </c>
      <c r="E41" s="27">
        <v>0</v>
      </c>
      <c r="F41" s="5" t="s">
        <v>823</v>
      </c>
      <c r="G41" s="28">
        <v>350</v>
      </c>
      <c r="H41" s="5" t="s">
        <v>367</v>
      </c>
      <c r="I41" s="27">
        <v>0</v>
      </c>
      <c r="J41" s="5"/>
      <c r="K41" s="27">
        <v>0</v>
      </c>
      <c r="L41" s="5" t="s">
        <v>823</v>
      </c>
      <c r="M41" s="27">
        <v>0</v>
      </c>
      <c r="N41" s="5"/>
      <c r="O41" s="28">
        <v>508</v>
      </c>
      <c r="P41" s="5" t="s">
        <v>823</v>
      </c>
      <c r="Q41" s="28">
        <v>508</v>
      </c>
      <c r="R41" s="5" t="s">
        <v>823</v>
      </c>
      <c r="S41" s="27">
        <v>0</v>
      </c>
      <c r="T41" s="5" t="s">
        <v>823</v>
      </c>
      <c r="U41" s="27">
        <f>ROUND(IF(MIN(E41,G41,I41,K41,M41,O41,Q41,S41)&lt;0, MIN(E41,G41,I41,K41,M41,O41,Q41,S41), SMALL(E41:T41,COUNTIF(E41:T41,0)+1)) * 공사설정!$C$24 / 100*AL41/ 100, 2)</f>
        <v>350</v>
      </c>
      <c r="V41" s="27">
        <f>ROUND(0 * 공사설정!$C$25 / 100*AM41/ 100,2)</f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f>ROUND(IF(MIN(W41:AD41)=AVERAGE(W41:AD41), 0, IF(MIN(W41:AD41)&lt;0, MIN(W41:AD41), SMALL(W41:AD41,COUNTIF(W41:AD41,0)+1))) * 공사설정!$C$26 / 100*AN41/ 100,2)</f>
        <v>0</v>
      </c>
      <c r="AF41" s="5" t="s">
        <v>1316</v>
      </c>
      <c r="AG41" s="29" t="s">
        <v>823</v>
      </c>
      <c r="AH41" s="5" t="s">
        <v>823</v>
      </c>
      <c r="AI41" s="5" t="s">
        <v>823</v>
      </c>
      <c r="AK41" s="5" t="s">
        <v>823</v>
      </c>
      <c r="AL41" s="10">
        <v>100</v>
      </c>
      <c r="AM41" s="10">
        <v>100</v>
      </c>
      <c r="AN41" s="11">
        <v>100</v>
      </c>
    </row>
    <row r="42" spans="1:40" ht="30" customHeight="1" x14ac:dyDescent="0.3">
      <c r="A42" s="5" t="s">
        <v>548</v>
      </c>
      <c r="B42" s="5" t="s">
        <v>1133</v>
      </c>
      <c r="C42" s="29" t="s">
        <v>823</v>
      </c>
      <c r="D42" s="5" t="s">
        <v>1004</v>
      </c>
      <c r="E42" s="27">
        <v>0</v>
      </c>
      <c r="F42" s="5"/>
      <c r="G42" s="28">
        <v>440</v>
      </c>
      <c r="H42" s="5" t="s">
        <v>328</v>
      </c>
      <c r="I42" s="27">
        <v>0</v>
      </c>
      <c r="J42" s="5"/>
      <c r="K42" s="27">
        <v>0</v>
      </c>
      <c r="L42" s="5"/>
      <c r="M42" s="27">
        <v>0</v>
      </c>
      <c r="N42" s="5"/>
      <c r="O42" s="27">
        <v>0</v>
      </c>
      <c r="P42" s="5"/>
      <c r="Q42" s="27">
        <v>0</v>
      </c>
      <c r="R42" s="5"/>
      <c r="S42" s="27">
        <v>0</v>
      </c>
      <c r="T42" s="5"/>
      <c r="U42" s="27">
        <f>ROUND(IF(MIN(E42,G42,I42,K42,M42,O42,Q42,S42)&lt;0, MIN(E42,G42,I42,K42,M42,O42,Q42,S42), SMALL(E42:T42,COUNTIF(E42:T42,0)+1)) * 공사설정!$C$24 / 100*AL42/ 100, 2)</f>
        <v>440</v>
      </c>
      <c r="V42" s="27">
        <f>ROUND(0 * 공사설정!$C$25 / 100*AM42/ 100,2)</f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f>ROUND(IF(MIN(W42:AD42)=AVERAGE(W42:AD42), 0, IF(MIN(W42:AD42)&lt;0, MIN(W42:AD42), SMALL(W42:AD42,COUNTIF(W42:AD42,0)+1))) * 공사설정!$C$26 / 100*AN42/ 100,2)</f>
        <v>0</v>
      </c>
      <c r="AF42" s="5" t="s">
        <v>112</v>
      </c>
      <c r="AG42" s="29"/>
      <c r="AH42" s="5" t="s">
        <v>823</v>
      </c>
      <c r="AI42" s="5" t="s">
        <v>823</v>
      </c>
      <c r="AK42" s="5" t="s">
        <v>823</v>
      </c>
      <c r="AL42" s="10">
        <v>100</v>
      </c>
      <c r="AM42" s="10">
        <v>100</v>
      </c>
      <c r="AN42" s="11">
        <v>100</v>
      </c>
    </row>
    <row r="43" spans="1:40" ht="30" customHeight="1" x14ac:dyDescent="0.3">
      <c r="A43" s="5" t="s">
        <v>833</v>
      </c>
      <c r="B43" s="5" t="s">
        <v>618</v>
      </c>
      <c r="C43" s="29" t="s">
        <v>542</v>
      </c>
      <c r="D43" s="5" t="s">
        <v>537</v>
      </c>
      <c r="E43" s="27">
        <v>0</v>
      </c>
      <c r="F43" s="5" t="s">
        <v>823</v>
      </c>
      <c r="G43" s="27">
        <v>0</v>
      </c>
      <c r="H43" s="5" t="s">
        <v>823</v>
      </c>
      <c r="I43" s="28">
        <v>39000</v>
      </c>
      <c r="J43" s="5" t="s">
        <v>752</v>
      </c>
      <c r="K43" s="27">
        <v>0</v>
      </c>
      <c r="L43" s="5" t="s">
        <v>823</v>
      </c>
      <c r="M43" s="27">
        <v>0</v>
      </c>
      <c r="N43" s="5" t="s">
        <v>823</v>
      </c>
      <c r="O43" s="28">
        <v>39000</v>
      </c>
      <c r="P43" s="5" t="s">
        <v>1160</v>
      </c>
      <c r="Q43" s="27">
        <v>0</v>
      </c>
      <c r="R43" s="5" t="s">
        <v>823</v>
      </c>
      <c r="S43" s="27">
        <v>0</v>
      </c>
      <c r="T43" s="5" t="s">
        <v>823</v>
      </c>
      <c r="U43" s="27">
        <f>ROUND(IF(MIN(E43,G43,I43,K43,M43,O43,Q43,S43)&lt;0, MIN(E43,G43,I43,K43,M43,O43,Q43,S43), SMALL(E43:T43,COUNTIF(E43:T43,0)+1)) * 공사설정!$C$24 / 100*AL43/ 100, 2)</f>
        <v>39000</v>
      </c>
      <c r="V43" s="27">
        <f>ROUND(0 * 공사설정!$C$25 / 100*AM43/ 100,2)</f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f>ROUND(IF(MIN(W43:AD43)=AVERAGE(W43:AD43), 0, IF(MIN(W43:AD43)&lt;0, MIN(W43:AD43), SMALL(W43:AD43,COUNTIF(W43:AD43,0)+1))) * 공사설정!$C$26 / 100*AN43/ 100,2)</f>
        <v>0</v>
      </c>
      <c r="AF43" s="5" t="s">
        <v>318</v>
      </c>
      <c r="AG43" s="29" t="s">
        <v>823</v>
      </c>
      <c r="AH43" s="5" t="s">
        <v>823</v>
      </c>
      <c r="AI43" s="5" t="s">
        <v>823</v>
      </c>
      <c r="AK43" s="5" t="s">
        <v>823</v>
      </c>
      <c r="AL43" s="10">
        <v>100</v>
      </c>
      <c r="AM43" s="10">
        <v>100</v>
      </c>
      <c r="AN43" s="11">
        <v>100</v>
      </c>
    </row>
    <row r="44" spans="1:40" ht="30" customHeight="1" x14ac:dyDescent="0.3">
      <c r="A44" s="5" t="s">
        <v>1138</v>
      </c>
      <c r="B44" s="5" t="s">
        <v>458</v>
      </c>
      <c r="C44" s="29" t="s">
        <v>442</v>
      </c>
      <c r="D44" s="5" t="s">
        <v>537</v>
      </c>
      <c r="E44" s="27">
        <v>0</v>
      </c>
      <c r="F44" s="5" t="s">
        <v>823</v>
      </c>
      <c r="G44" s="27">
        <v>0</v>
      </c>
      <c r="H44" s="5" t="s">
        <v>823</v>
      </c>
      <c r="I44" s="28">
        <v>10800</v>
      </c>
      <c r="J44" s="5" t="s">
        <v>752</v>
      </c>
      <c r="K44" s="27">
        <v>0</v>
      </c>
      <c r="L44" s="5" t="s">
        <v>823</v>
      </c>
      <c r="M44" s="27">
        <v>0</v>
      </c>
      <c r="N44" s="5" t="s">
        <v>823</v>
      </c>
      <c r="O44" s="28">
        <v>10800</v>
      </c>
      <c r="P44" s="5" t="s">
        <v>1160</v>
      </c>
      <c r="Q44" s="27">
        <v>0</v>
      </c>
      <c r="R44" s="5" t="s">
        <v>823</v>
      </c>
      <c r="S44" s="27">
        <v>0</v>
      </c>
      <c r="T44" s="5" t="s">
        <v>823</v>
      </c>
      <c r="U44" s="27">
        <f>ROUND(IF(MIN(E44,G44,I44,K44,M44,O44,Q44,S44)&lt;0, MIN(E44,G44,I44,K44,M44,O44,Q44,S44), SMALL(E44:T44,COUNTIF(E44:T44,0)+1)) * 공사설정!$C$24 / 100*AL44/ 100, 2)</f>
        <v>10800</v>
      </c>
      <c r="V44" s="27">
        <f>ROUND(0 * 공사설정!$C$25 / 100*AM44/ 100,2)</f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f>ROUND(IF(MIN(W44:AD44)=AVERAGE(W44:AD44), 0, IF(MIN(W44:AD44)&lt;0, MIN(W44:AD44), SMALL(W44:AD44,COUNTIF(W44:AD44,0)+1))) * 공사설정!$C$26 / 100*AN44/ 100,2)</f>
        <v>0</v>
      </c>
      <c r="AF44" s="5" t="s">
        <v>875</v>
      </c>
      <c r="AG44" s="29" t="s">
        <v>823</v>
      </c>
      <c r="AH44" s="5" t="s">
        <v>823</v>
      </c>
      <c r="AI44" s="5" t="s">
        <v>823</v>
      </c>
      <c r="AK44" s="5" t="s">
        <v>823</v>
      </c>
      <c r="AL44" s="10">
        <v>100</v>
      </c>
      <c r="AM44" s="10">
        <v>100</v>
      </c>
      <c r="AN44" s="11">
        <v>100</v>
      </c>
    </row>
    <row r="45" spans="1:40" ht="30" customHeight="1" x14ac:dyDescent="0.3">
      <c r="A45" s="5" t="s">
        <v>1014</v>
      </c>
      <c r="B45" s="5" t="s">
        <v>458</v>
      </c>
      <c r="C45" s="29" t="s">
        <v>1230</v>
      </c>
      <c r="D45" s="5" t="s">
        <v>537</v>
      </c>
      <c r="E45" s="27">
        <v>0</v>
      </c>
      <c r="F45" s="5" t="s">
        <v>823</v>
      </c>
      <c r="G45" s="27">
        <v>0</v>
      </c>
      <c r="H45" s="5" t="s">
        <v>823</v>
      </c>
      <c r="I45" s="28">
        <v>13500</v>
      </c>
      <c r="J45" s="5" t="s">
        <v>752</v>
      </c>
      <c r="K45" s="27">
        <v>0</v>
      </c>
      <c r="L45" s="5" t="s">
        <v>823</v>
      </c>
      <c r="M45" s="27">
        <v>0</v>
      </c>
      <c r="N45" s="5" t="s">
        <v>823</v>
      </c>
      <c r="O45" s="28">
        <v>13500</v>
      </c>
      <c r="P45" s="5" t="s">
        <v>1160</v>
      </c>
      <c r="Q45" s="27">
        <v>0</v>
      </c>
      <c r="R45" s="5" t="s">
        <v>823</v>
      </c>
      <c r="S45" s="27">
        <v>0</v>
      </c>
      <c r="T45" s="5" t="s">
        <v>823</v>
      </c>
      <c r="U45" s="27">
        <f>ROUND(IF(MIN(E45,G45,I45,K45,M45,O45,Q45,S45)&lt;0, MIN(E45,G45,I45,K45,M45,O45,Q45,S45), SMALL(E45:T45,COUNTIF(E45:T45,0)+1)) * 공사설정!$C$24 / 100*AL45/ 100, 2)</f>
        <v>13500</v>
      </c>
      <c r="V45" s="27">
        <f>ROUND(0 * 공사설정!$C$25 / 100*AM45/ 100,2)</f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f>ROUND(IF(MIN(W45:AD45)=AVERAGE(W45:AD45), 0, IF(MIN(W45:AD45)&lt;0, MIN(W45:AD45), SMALL(W45:AD45,COUNTIF(W45:AD45,0)+1))) * 공사설정!$C$26 / 100*AN45/ 100,2)</f>
        <v>0</v>
      </c>
      <c r="AF45" s="5" t="s">
        <v>1304</v>
      </c>
      <c r="AG45" s="29" t="s">
        <v>823</v>
      </c>
      <c r="AH45" s="5" t="s">
        <v>823</v>
      </c>
      <c r="AI45" s="5" t="s">
        <v>823</v>
      </c>
      <c r="AK45" s="5" t="s">
        <v>823</v>
      </c>
      <c r="AL45" s="10">
        <v>100</v>
      </c>
      <c r="AM45" s="10">
        <v>100</v>
      </c>
      <c r="AN45" s="11">
        <v>100</v>
      </c>
    </row>
    <row r="46" spans="1:40" ht="30" customHeight="1" x14ac:dyDescent="0.3">
      <c r="A46" s="5" t="s">
        <v>1122</v>
      </c>
      <c r="B46" s="5" t="s">
        <v>486</v>
      </c>
      <c r="C46" s="29" t="s">
        <v>1285</v>
      </c>
      <c r="D46" s="5" t="s">
        <v>537</v>
      </c>
      <c r="E46" s="27">
        <v>0</v>
      </c>
      <c r="F46" s="5" t="s">
        <v>823</v>
      </c>
      <c r="G46" s="27">
        <v>0</v>
      </c>
      <c r="H46" s="5" t="s">
        <v>823</v>
      </c>
      <c r="I46" s="28">
        <v>19600</v>
      </c>
      <c r="J46" s="5" t="s">
        <v>752</v>
      </c>
      <c r="K46" s="27">
        <v>0</v>
      </c>
      <c r="L46" s="5" t="s">
        <v>823</v>
      </c>
      <c r="M46" s="27">
        <v>0</v>
      </c>
      <c r="N46" s="5" t="s">
        <v>823</v>
      </c>
      <c r="O46" s="28">
        <v>19600</v>
      </c>
      <c r="P46" s="5" t="s">
        <v>1160</v>
      </c>
      <c r="Q46" s="27">
        <v>0</v>
      </c>
      <c r="R46" s="5" t="s">
        <v>823</v>
      </c>
      <c r="S46" s="27">
        <v>0</v>
      </c>
      <c r="T46" s="5" t="s">
        <v>823</v>
      </c>
      <c r="U46" s="27">
        <f>ROUND(IF(MIN(E46,G46,I46,K46,M46,O46,Q46,S46)&lt;0, MIN(E46,G46,I46,K46,M46,O46,Q46,S46), SMALL(E46:T46,COUNTIF(E46:T46,0)+1)) * 공사설정!$C$24 / 100*AL46/ 100, 2)</f>
        <v>19600</v>
      </c>
      <c r="V46" s="27">
        <f>ROUND(0 * 공사설정!$C$25 / 100*AM46/ 100,2)</f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f>ROUND(IF(MIN(W46:AD46)=AVERAGE(W46:AD46), 0, IF(MIN(W46:AD46)&lt;0, MIN(W46:AD46), SMALL(W46:AD46,COUNTIF(W46:AD46,0)+1))) * 공사설정!$C$26 / 100*AN46/ 100,2)</f>
        <v>0</v>
      </c>
      <c r="AF46" s="5" t="s">
        <v>111</v>
      </c>
      <c r="AG46" s="29" t="s">
        <v>823</v>
      </c>
      <c r="AH46" s="5" t="s">
        <v>823</v>
      </c>
      <c r="AI46" s="5" t="s">
        <v>823</v>
      </c>
      <c r="AK46" s="5" t="s">
        <v>823</v>
      </c>
      <c r="AL46" s="10">
        <v>100</v>
      </c>
      <c r="AM46" s="10">
        <v>100</v>
      </c>
      <c r="AN46" s="11">
        <v>100</v>
      </c>
    </row>
    <row r="47" spans="1:40" ht="30" customHeight="1" x14ac:dyDescent="0.3">
      <c r="A47" s="5" t="s">
        <v>448</v>
      </c>
      <c r="B47" s="5" t="s">
        <v>913</v>
      </c>
      <c r="C47" s="29" t="s">
        <v>1199</v>
      </c>
      <c r="D47" s="5" t="s">
        <v>537</v>
      </c>
      <c r="E47" s="27">
        <v>0</v>
      </c>
      <c r="F47" s="5" t="s">
        <v>823</v>
      </c>
      <c r="G47" s="27">
        <v>0</v>
      </c>
      <c r="H47" s="5" t="s">
        <v>823</v>
      </c>
      <c r="I47" s="28">
        <v>7200</v>
      </c>
      <c r="J47" s="5" t="s">
        <v>752</v>
      </c>
      <c r="K47" s="27">
        <v>0</v>
      </c>
      <c r="L47" s="5" t="s">
        <v>823</v>
      </c>
      <c r="M47" s="27">
        <v>0</v>
      </c>
      <c r="N47" s="5" t="s">
        <v>823</v>
      </c>
      <c r="O47" s="27">
        <v>0</v>
      </c>
      <c r="P47" s="5" t="s">
        <v>823</v>
      </c>
      <c r="Q47" s="27">
        <v>0</v>
      </c>
      <c r="R47" s="5" t="s">
        <v>823</v>
      </c>
      <c r="S47" s="27">
        <v>0</v>
      </c>
      <c r="T47" s="5" t="s">
        <v>823</v>
      </c>
      <c r="U47" s="27">
        <f>ROUND(IF(MIN(E47,G47,I47,K47,M47,O47,Q47,S47)&lt;0, MIN(E47,G47,I47,K47,M47,O47,Q47,S47), SMALL(E47:T47,COUNTIF(E47:T47,0)+1)) * 공사설정!$C$24 / 100*AL47/ 100, 2)</f>
        <v>7200</v>
      </c>
      <c r="V47" s="27">
        <f>ROUND(0 * 공사설정!$C$25 / 100*AM47/ 100,2)</f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f>ROUND(IF(MIN(W47:AD47)=AVERAGE(W47:AD47), 0, IF(MIN(W47:AD47)&lt;0, MIN(W47:AD47), SMALL(W47:AD47,COUNTIF(W47:AD47,0)+1))) * 공사설정!$C$26 / 100*AN47/ 100,2)</f>
        <v>0</v>
      </c>
      <c r="AF47" s="5" t="s">
        <v>701</v>
      </c>
      <c r="AG47" s="29" t="s">
        <v>823</v>
      </c>
      <c r="AH47" s="5" t="s">
        <v>823</v>
      </c>
      <c r="AI47" s="5" t="s">
        <v>823</v>
      </c>
      <c r="AK47" s="5" t="s">
        <v>823</v>
      </c>
      <c r="AL47" s="10">
        <v>100</v>
      </c>
      <c r="AM47" s="10">
        <v>100</v>
      </c>
      <c r="AN47" s="11">
        <v>100</v>
      </c>
    </row>
    <row r="48" spans="1:40" ht="30" customHeight="1" x14ac:dyDescent="0.3">
      <c r="A48" s="5" t="s">
        <v>566</v>
      </c>
      <c r="B48" s="5" t="s">
        <v>913</v>
      </c>
      <c r="C48" s="29" t="s">
        <v>213</v>
      </c>
      <c r="D48" s="5" t="s">
        <v>537</v>
      </c>
      <c r="E48" s="27">
        <v>0</v>
      </c>
      <c r="F48" s="5" t="s">
        <v>823</v>
      </c>
      <c r="G48" s="27">
        <v>0</v>
      </c>
      <c r="H48" s="5" t="s">
        <v>823</v>
      </c>
      <c r="I48" s="28">
        <v>8400</v>
      </c>
      <c r="J48" s="5" t="s">
        <v>752</v>
      </c>
      <c r="K48" s="27">
        <v>0</v>
      </c>
      <c r="L48" s="5" t="s">
        <v>823</v>
      </c>
      <c r="M48" s="27">
        <v>0</v>
      </c>
      <c r="N48" s="5" t="s">
        <v>823</v>
      </c>
      <c r="O48" s="27">
        <v>0</v>
      </c>
      <c r="P48" s="5" t="s">
        <v>823</v>
      </c>
      <c r="Q48" s="27">
        <v>0</v>
      </c>
      <c r="R48" s="5" t="s">
        <v>823</v>
      </c>
      <c r="S48" s="27">
        <v>0</v>
      </c>
      <c r="T48" s="5" t="s">
        <v>823</v>
      </c>
      <c r="U48" s="27">
        <f>ROUND(IF(MIN(E48,G48,I48,K48,M48,O48,Q48,S48)&lt;0, MIN(E48,G48,I48,K48,M48,O48,Q48,S48), SMALL(E48:T48,COUNTIF(E48:T48,0)+1)) * 공사설정!$C$24 / 100*AL48/ 100, 2)</f>
        <v>8400</v>
      </c>
      <c r="V48" s="27">
        <f>ROUND(0 * 공사설정!$C$25 / 100*AM48/ 100,2)</f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f>ROUND(IF(MIN(W48:AD48)=AVERAGE(W48:AD48), 0, IF(MIN(W48:AD48)&lt;0, MIN(W48:AD48), SMALL(W48:AD48,COUNTIF(W48:AD48,0)+1))) * 공사설정!$C$26 / 100*AN48/ 100,2)</f>
        <v>0</v>
      </c>
      <c r="AF48" s="5" t="s">
        <v>815</v>
      </c>
      <c r="AG48" s="29" t="s">
        <v>823</v>
      </c>
      <c r="AH48" s="5" t="s">
        <v>823</v>
      </c>
      <c r="AI48" s="5" t="s">
        <v>823</v>
      </c>
      <c r="AK48" s="5" t="s">
        <v>823</v>
      </c>
      <c r="AL48" s="10">
        <v>100</v>
      </c>
      <c r="AM48" s="10">
        <v>100</v>
      </c>
      <c r="AN48" s="11">
        <v>100</v>
      </c>
    </row>
    <row r="49" spans="1:40" ht="30" customHeight="1" x14ac:dyDescent="0.3">
      <c r="A49" s="5" t="s">
        <v>689</v>
      </c>
      <c r="B49" s="5" t="s">
        <v>1105</v>
      </c>
      <c r="C49" s="29" t="s">
        <v>23</v>
      </c>
      <c r="D49" s="5" t="s">
        <v>1086</v>
      </c>
      <c r="E49" s="27">
        <v>0</v>
      </c>
      <c r="F49" s="5" t="s">
        <v>823</v>
      </c>
      <c r="G49" s="27">
        <v>0</v>
      </c>
      <c r="H49" s="5" t="s">
        <v>823</v>
      </c>
      <c r="I49" s="27">
        <v>0</v>
      </c>
      <c r="J49" s="5" t="s">
        <v>823</v>
      </c>
      <c r="K49" s="27">
        <v>0</v>
      </c>
      <c r="L49" s="5" t="s">
        <v>823</v>
      </c>
      <c r="M49" s="27">
        <v>0</v>
      </c>
      <c r="N49" s="5" t="s">
        <v>823</v>
      </c>
      <c r="O49" s="28">
        <v>8700</v>
      </c>
      <c r="P49" s="5" t="s">
        <v>1160</v>
      </c>
      <c r="Q49" s="27">
        <v>0</v>
      </c>
      <c r="R49" s="5" t="s">
        <v>823</v>
      </c>
      <c r="S49" s="27">
        <v>0</v>
      </c>
      <c r="T49" s="5" t="s">
        <v>823</v>
      </c>
      <c r="U49" s="27">
        <f>ROUND(IF(MIN(E49,G49,I49,K49,M49,O49,Q49,S49)&lt;0, MIN(E49,G49,I49,K49,M49,O49,Q49,S49), SMALL(E49:T49,COUNTIF(E49:T49,0)+1)) * 공사설정!$C$24 / 100*AL49/ 100, 2)</f>
        <v>8700</v>
      </c>
      <c r="V49" s="27">
        <f>ROUND(0 * 공사설정!$C$25 / 100*AM49/ 100,2)</f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f>ROUND(IF(MIN(W49:AD49)=AVERAGE(W49:AD49), 0, IF(MIN(W49:AD49)&lt;0, MIN(W49:AD49), SMALL(W49:AD49,COUNTIF(W49:AD49,0)+1))) * 공사설정!$C$26 / 100*AN49/ 100,2)</f>
        <v>0</v>
      </c>
      <c r="AF49" s="5" t="s">
        <v>60</v>
      </c>
      <c r="AG49" s="29" t="s">
        <v>823</v>
      </c>
      <c r="AH49" s="5" t="s">
        <v>823</v>
      </c>
      <c r="AI49" s="5" t="s">
        <v>823</v>
      </c>
      <c r="AK49" s="5" t="s">
        <v>823</v>
      </c>
      <c r="AL49" s="10">
        <v>100</v>
      </c>
      <c r="AM49" s="10">
        <v>100</v>
      </c>
      <c r="AN49" s="11">
        <v>100</v>
      </c>
    </row>
    <row r="50" spans="1:40" ht="30" customHeight="1" x14ac:dyDescent="0.3">
      <c r="A50" s="5" t="s">
        <v>1077</v>
      </c>
      <c r="B50" s="5" t="s">
        <v>15</v>
      </c>
      <c r="C50" s="29" t="s">
        <v>891</v>
      </c>
      <c r="D50" s="5" t="s">
        <v>554</v>
      </c>
      <c r="E50" s="27">
        <v>0</v>
      </c>
      <c r="F50" s="5" t="s">
        <v>823</v>
      </c>
      <c r="G50" s="27">
        <v>0</v>
      </c>
      <c r="H50" s="5" t="s">
        <v>823</v>
      </c>
      <c r="I50" s="28">
        <v>77000</v>
      </c>
      <c r="J50" s="5" t="s">
        <v>752</v>
      </c>
      <c r="K50" s="27">
        <v>0</v>
      </c>
      <c r="L50" s="5" t="s">
        <v>823</v>
      </c>
      <c r="M50" s="27">
        <v>0</v>
      </c>
      <c r="N50" s="5" t="s">
        <v>823</v>
      </c>
      <c r="O50" s="28">
        <v>77000</v>
      </c>
      <c r="P50" s="5" t="s">
        <v>775</v>
      </c>
      <c r="Q50" s="27">
        <v>0</v>
      </c>
      <c r="R50" s="5" t="s">
        <v>823</v>
      </c>
      <c r="S50" s="27">
        <v>0</v>
      </c>
      <c r="T50" s="5" t="s">
        <v>823</v>
      </c>
      <c r="U50" s="27">
        <f>ROUND(IF(MIN(E50,G50,I50,K50,M50,O50,Q50,S50)&lt;0, MIN(E50,G50,I50,K50,M50,O50,Q50,S50), SMALL(E50:T50,COUNTIF(E50:T50,0)+1)) * 공사설정!$C$24 / 100*AL50/ 100, 2)</f>
        <v>77000</v>
      </c>
      <c r="V50" s="27">
        <f>ROUND(0 * 공사설정!$C$25 / 100*AM50/ 100,2)</f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f>ROUND(IF(MIN(W50:AD50)=AVERAGE(W50:AD50), 0, IF(MIN(W50:AD50)&lt;0, MIN(W50:AD50), SMALL(W50:AD50,COUNTIF(W50:AD50,0)+1))) * 공사설정!$C$26 / 100*AN50/ 100,2)</f>
        <v>0</v>
      </c>
      <c r="AF50" s="5" t="s">
        <v>1227</v>
      </c>
      <c r="AG50" s="29" t="s">
        <v>823</v>
      </c>
      <c r="AH50" s="5" t="s">
        <v>823</v>
      </c>
      <c r="AI50" s="5" t="s">
        <v>823</v>
      </c>
      <c r="AK50" s="5" t="s">
        <v>823</v>
      </c>
      <c r="AL50" s="10">
        <v>100</v>
      </c>
      <c r="AM50" s="10">
        <v>100</v>
      </c>
      <c r="AN50" s="11">
        <v>100</v>
      </c>
    </row>
    <row r="51" spans="1:40" ht="30" customHeight="1" x14ac:dyDescent="0.3">
      <c r="A51" s="5" t="s">
        <v>683</v>
      </c>
      <c r="B51" s="5" t="s">
        <v>360</v>
      </c>
      <c r="C51" s="29" t="s">
        <v>437</v>
      </c>
      <c r="D51" s="5" t="s">
        <v>1086</v>
      </c>
      <c r="E51" s="28">
        <v>4674432</v>
      </c>
      <c r="F51" s="5" t="s">
        <v>1237</v>
      </c>
      <c r="G51" s="28">
        <v>4400000</v>
      </c>
      <c r="H51" s="5" t="s">
        <v>273</v>
      </c>
      <c r="I51" s="27">
        <v>0</v>
      </c>
      <c r="J51" s="5"/>
      <c r="K51" s="28">
        <v>4600000</v>
      </c>
      <c r="L51" s="5" t="s">
        <v>790</v>
      </c>
      <c r="M51" s="28">
        <v>4600000</v>
      </c>
      <c r="N51" s="5" t="s">
        <v>1033</v>
      </c>
      <c r="O51" s="27">
        <v>0</v>
      </c>
      <c r="P51" s="5" t="s">
        <v>823</v>
      </c>
      <c r="Q51" s="27">
        <v>0</v>
      </c>
      <c r="R51" s="5"/>
      <c r="S51" s="27">
        <v>0</v>
      </c>
      <c r="T51" s="5" t="s">
        <v>823</v>
      </c>
      <c r="U51" s="27">
        <f>ROUND(IF(MIN(E51,G51,I51,K51,M51,O51,Q51,S51)&lt;0, MIN(E51,G51,I51,K51,M51,O51,Q51,S51), SMALL(E51:T51,COUNTIF(E51:T51,0)+1)) * 공사설정!$C$24 / 100*AL51/ 100, 2)</f>
        <v>4400000</v>
      </c>
      <c r="V51" s="27">
        <f>ROUND(0 * 공사설정!$C$25 / 100*AM51/ 100,2)</f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f>ROUND(IF(MIN(W51:AD51)=AVERAGE(W51:AD51), 0, IF(MIN(W51:AD51)&lt;0, MIN(W51:AD51), SMALL(W51:AD51,COUNTIF(W51:AD51,0)+1))) * 공사설정!$C$26 / 100*AN51/ 100,2)</f>
        <v>0</v>
      </c>
      <c r="AF51" s="5" t="s">
        <v>1300</v>
      </c>
      <c r="AG51" s="29" t="s">
        <v>823</v>
      </c>
      <c r="AH51" s="5" t="s">
        <v>823</v>
      </c>
      <c r="AI51" s="5" t="s">
        <v>823</v>
      </c>
      <c r="AK51" s="5" t="s">
        <v>823</v>
      </c>
      <c r="AL51" s="10">
        <v>100</v>
      </c>
      <c r="AM51" s="10">
        <v>100</v>
      </c>
      <c r="AN51" s="11">
        <v>100</v>
      </c>
    </row>
    <row r="52" spans="1:40" ht="30" customHeight="1" x14ac:dyDescent="0.3">
      <c r="A52" s="5" t="s">
        <v>1052</v>
      </c>
      <c r="B52" s="5" t="s">
        <v>360</v>
      </c>
      <c r="C52" s="29" t="s">
        <v>420</v>
      </c>
      <c r="D52" s="5" t="s">
        <v>1086</v>
      </c>
      <c r="E52" s="28">
        <v>3739547</v>
      </c>
      <c r="F52" s="5" t="s">
        <v>1237</v>
      </c>
      <c r="G52" s="28">
        <v>4100000</v>
      </c>
      <c r="H52" s="5" t="s">
        <v>273</v>
      </c>
      <c r="I52" s="27">
        <v>0</v>
      </c>
      <c r="J52" s="5"/>
      <c r="K52" s="27">
        <v>0</v>
      </c>
      <c r="L52" s="5" t="s">
        <v>823</v>
      </c>
      <c r="M52" s="28">
        <v>3900000</v>
      </c>
      <c r="N52" s="5" t="s">
        <v>1033</v>
      </c>
      <c r="O52" s="27">
        <v>0</v>
      </c>
      <c r="P52" s="5" t="s">
        <v>823</v>
      </c>
      <c r="Q52" s="27">
        <v>0</v>
      </c>
      <c r="R52" s="5"/>
      <c r="S52" s="27">
        <v>0</v>
      </c>
      <c r="T52" s="5" t="s">
        <v>823</v>
      </c>
      <c r="U52" s="27">
        <f>ROUND(IF(MIN(E52,G52,I52,K52,M52,O52,Q52,S52)&lt;0, MIN(E52,G52,I52,K52,M52,O52,Q52,S52), SMALL(E52:T52,COUNTIF(E52:T52,0)+1)) * 공사설정!$C$24 / 100*AL52/ 100, 2)</f>
        <v>3739547</v>
      </c>
      <c r="V52" s="27">
        <f>ROUND(0 * 공사설정!$C$25 / 100*AM52/ 100,2)</f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f>ROUND(IF(MIN(W52:AD52)=AVERAGE(W52:AD52), 0, IF(MIN(W52:AD52)&lt;0, MIN(W52:AD52), SMALL(W52:AD52,COUNTIF(W52:AD52,0)+1))) * 공사설정!$C$26 / 100*AN52/ 100,2)</f>
        <v>0</v>
      </c>
      <c r="AF52" s="5" t="s">
        <v>553</v>
      </c>
      <c r="AG52" s="29" t="s">
        <v>823</v>
      </c>
      <c r="AH52" s="5" t="s">
        <v>823</v>
      </c>
      <c r="AI52" s="5" t="s">
        <v>823</v>
      </c>
      <c r="AK52" s="5" t="s">
        <v>823</v>
      </c>
      <c r="AL52" s="10">
        <v>100</v>
      </c>
      <c r="AM52" s="10">
        <v>100</v>
      </c>
      <c r="AN52" s="11">
        <v>100</v>
      </c>
    </row>
    <row r="53" spans="1:40" ht="30" customHeight="1" x14ac:dyDescent="0.3">
      <c r="A53" s="5" t="s">
        <v>1100</v>
      </c>
      <c r="B53" s="5" t="s">
        <v>397</v>
      </c>
      <c r="C53" s="29" t="s">
        <v>823</v>
      </c>
      <c r="D53" s="5" t="s">
        <v>1004</v>
      </c>
      <c r="E53" s="27">
        <v>0</v>
      </c>
      <c r="F53" s="5"/>
      <c r="G53" s="27">
        <v>0</v>
      </c>
      <c r="H53" s="5"/>
      <c r="I53" s="27">
        <v>0</v>
      </c>
      <c r="J53" s="5"/>
      <c r="K53" s="27">
        <v>0</v>
      </c>
      <c r="L53" s="5"/>
      <c r="M53" s="27">
        <v>0</v>
      </c>
      <c r="N53" s="5"/>
      <c r="O53" s="28">
        <v>46000</v>
      </c>
      <c r="P53" s="5"/>
      <c r="Q53" s="27">
        <v>0</v>
      </c>
      <c r="R53" s="5"/>
      <c r="S53" s="27">
        <v>0</v>
      </c>
      <c r="T53" s="5"/>
      <c r="U53" s="27">
        <f>ROUND(IF(MIN(E53,G53,I53,K53,M53,O53,Q53,S53)&lt;0, MIN(E53,G53,I53,K53,M53,O53,Q53,S53), SMALL(E53:T53,COUNTIF(E53:T53,0)+1)) * 공사설정!$C$24 / 100*AL53/ 100, 2)</f>
        <v>46000</v>
      </c>
      <c r="V53" s="27">
        <f>ROUND(0 * 공사설정!$C$25 / 100*AM53/ 100,2)</f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f>ROUND(IF(MIN(W53:AD53)=AVERAGE(W53:AD53), 0, IF(MIN(W53:AD53)&lt;0, MIN(W53:AD53), SMALL(W53:AD53,COUNTIF(W53:AD53,0)+1))) * 공사설정!$C$26 / 100*AN53/ 100,2)</f>
        <v>0</v>
      </c>
      <c r="AF53" s="5" t="s">
        <v>579</v>
      </c>
      <c r="AG53" s="29"/>
      <c r="AH53" s="5" t="s">
        <v>823</v>
      </c>
      <c r="AI53" s="5" t="s">
        <v>823</v>
      </c>
      <c r="AK53" s="5" t="s">
        <v>823</v>
      </c>
      <c r="AL53" s="10">
        <v>100</v>
      </c>
      <c r="AM53" s="10">
        <v>100</v>
      </c>
      <c r="AN53" s="11">
        <v>100</v>
      </c>
    </row>
    <row r="54" spans="1:40" ht="30" customHeight="1" x14ac:dyDescent="0.3">
      <c r="A54" s="5" t="s">
        <v>226</v>
      </c>
      <c r="B54" s="5" t="s">
        <v>653</v>
      </c>
      <c r="C54" s="29" t="s">
        <v>398</v>
      </c>
      <c r="D54" s="5" t="s">
        <v>130</v>
      </c>
      <c r="E54" s="28">
        <v>995</v>
      </c>
      <c r="F54" s="5" t="s">
        <v>1237</v>
      </c>
      <c r="G54" s="28">
        <v>995</v>
      </c>
      <c r="H54" s="5" t="s">
        <v>39</v>
      </c>
      <c r="I54" s="28">
        <v>1392</v>
      </c>
      <c r="J54" s="5" t="s">
        <v>285</v>
      </c>
      <c r="K54" s="28">
        <v>1179</v>
      </c>
      <c r="L54" s="5" t="s">
        <v>285</v>
      </c>
      <c r="M54" s="27">
        <v>0</v>
      </c>
      <c r="N54" s="5"/>
      <c r="O54" s="27">
        <v>0</v>
      </c>
      <c r="P54" s="5" t="s">
        <v>823</v>
      </c>
      <c r="Q54" s="27">
        <v>0</v>
      </c>
      <c r="R54" s="5"/>
      <c r="S54" s="27">
        <v>0</v>
      </c>
      <c r="T54" s="5" t="s">
        <v>823</v>
      </c>
      <c r="U54" s="27">
        <f>ROUND(IF(MIN(E54,G54,I54,K54,M54,O54,Q54,S54)&lt;0, MIN(E54,G54,I54,K54,M54,O54,Q54,S54), SMALL(E54:T54,COUNTIF(E54:T54,0)+1)) * 공사설정!$C$24 / 100*AL54/ 100, 2)</f>
        <v>995</v>
      </c>
      <c r="V54" s="27">
        <f>ROUND(0 * 공사설정!$C$25 / 100*AM54/ 100,2)</f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f>ROUND(IF(MIN(W54:AD54)=AVERAGE(W54:AD54), 0, IF(MIN(W54:AD54)&lt;0, MIN(W54:AD54), SMALL(W54:AD54,COUNTIF(W54:AD54,0)+1))) * 공사설정!$C$26 / 100*AN54/ 100,2)</f>
        <v>0</v>
      </c>
      <c r="AF54" s="5" t="s">
        <v>887</v>
      </c>
      <c r="AG54" s="29" t="s">
        <v>823</v>
      </c>
      <c r="AH54" s="5" t="s">
        <v>823</v>
      </c>
      <c r="AI54" s="5" t="s">
        <v>823</v>
      </c>
      <c r="AK54" s="5" t="s">
        <v>823</v>
      </c>
      <c r="AL54" s="10">
        <v>100</v>
      </c>
      <c r="AM54" s="10">
        <v>100</v>
      </c>
      <c r="AN54" s="11">
        <v>100</v>
      </c>
    </row>
    <row r="55" spans="1:40" ht="30" customHeight="1" x14ac:dyDescent="0.3">
      <c r="A55" s="5" t="s">
        <v>29</v>
      </c>
      <c r="B55" s="5" t="s">
        <v>605</v>
      </c>
      <c r="C55" s="29" t="s">
        <v>638</v>
      </c>
      <c r="D55" s="5" t="s">
        <v>1086</v>
      </c>
      <c r="E55" s="28">
        <v>761</v>
      </c>
      <c r="F55" s="5" t="s">
        <v>1237</v>
      </c>
      <c r="G55" s="28">
        <v>868</v>
      </c>
      <c r="H55" s="5" t="s">
        <v>1203</v>
      </c>
      <c r="I55" s="28">
        <v>943</v>
      </c>
      <c r="J55" s="5" t="s">
        <v>285</v>
      </c>
      <c r="K55" s="27">
        <v>0</v>
      </c>
      <c r="L55" s="5" t="s">
        <v>823</v>
      </c>
      <c r="M55" s="27">
        <v>0</v>
      </c>
      <c r="N55" s="5"/>
      <c r="O55" s="27">
        <v>0</v>
      </c>
      <c r="P55" s="5" t="s">
        <v>823</v>
      </c>
      <c r="Q55" s="27">
        <v>0</v>
      </c>
      <c r="R55" s="5"/>
      <c r="S55" s="27">
        <v>0</v>
      </c>
      <c r="T55" s="5" t="s">
        <v>823</v>
      </c>
      <c r="U55" s="27">
        <f>ROUND(IF(MIN(E55,G55,I55,K55,M55,O55,Q55,S55)&lt;0, MIN(E55,G55,I55,K55,M55,O55,Q55,S55), SMALL(E55:T55,COUNTIF(E55:T55,0)+1)) * 공사설정!$C$24 / 100*AL55/ 100, 2)</f>
        <v>761</v>
      </c>
      <c r="V55" s="27">
        <f>ROUND(0 * 공사설정!$C$25 / 100*AM55/ 100,2)</f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f>ROUND(IF(MIN(W55:AD55)=AVERAGE(W55:AD55), 0, IF(MIN(W55:AD55)&lt;0, MIN(W55:AD55), SMALL(W55:AD55,COUNTIF(W55:AD55,0)+1))) * 공사설정!$C$26 / 100*AN55/ 100,2)</f>
        <v>0</v>
      </c>
      <c r="AF55" s="5" t="s">
        <v>688</v>
      </c>
      <c r="AG55" s="29" t="s">
        <v>823</v>
      </c>
      <c r="AH55" s="5" t="s">
        <v>823</v>
      </c>
      <c r="AI55" s="5" t="s">
        <v>823</v>
      </c>
      <c r="AK55" s="5" t="s">
        <v>823</v>
      </c>
      <c r="AL55" s="10">
        <v>100</v>
      </c>
      <c r="AM55" s="10">
        <v>100</v>
      </c>
      <c r="AN55" s="11">
        <v>100</v>
      </c>
    </row>
    <row r="56" spans="1:40" ht="30" customHeight="1" x14ac:dyDescent="0.3">
      <c r="A56" s="5" t="s">
        <v>1231</v>
      </c>
      <c r="B56" s="5" t="s">
        <v>1045</v>
      </c>
      <c r="C56" s="29" t="s">
        <v>48</v>
      </c>
      <c r="D56" s="5" t="s">
        <v>1224</v>
      </c>
      <c r="E56" s="28">
        <v>1503</v>
      </c>
      <c r="F56" s="5" t="s">
        <v>1237</v>
      </c>
      <c r="G56" s="28">
        <v>1460</v>
      </c>
      <c r="H56" s="5" t="s">
        <v>752</v>
      </c>
      <c r="I56" s="25">
        <v>1850.5</v>
      </c>
      <c r="J56" s="5" t="s">
        <v>735</v>
      </c>
      <c r="K56" s="27">
        <v>1651.74</v>
      </c>
      <c r="L56" s="5" t="s">
        <v>238</v>
      </c>
      <c r="M56" s="28">
        <v>1870</v>
      </c>
      <c r="N56" s="5" t="s">
        <v>1104</v>
      </c>
      <c r="O56" s="27">
        <v>0</v>
      </c>
      <c r="P56" s="5" t="s">
        <v>823</v>
      </c>
      <c r="Q56" s="27">
        <v>0</v>
      </c>
      <c r="R56" s="5"/>
      <c r="S56" s="27">
        <v>0</v>
      </c>
      <c r="T56" s="5" t="s">
        <v>823</v>
      </c>
      <c r="U56" s="27">
        <f>ROUND(IF(MIN(E56,G56,I56,K56,M56,O56,Q56,S56)&lt;0, MIN(E56,G56,I56,K56,M56,O56,Q56,S56), SMALL(E56:T56,COUNTIF(E56:T56,0)+1)) * 공사설정!$C$24 / 100*AL56/ 100, 2)</f>
        <v>1460</v>
      </c>
      <c r="V56" s="27">
        <f>ROUND(0 * 공사설정!$C$25 / 100*AM56/ 100,2)</f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f>ROUND(IF(MIN(W56:AD56)=AVERAGE(W56:AD56), 0, IF(MIN(W56:AD56)&lt;0, MIN(W56:AD56), SMALL(W56:AD56,COUNTIF(W56:AD56,0)+1))) * 공사설정!$C$26 / 100*AN56/ 100,2)</f>
        <v>0</v>
      </c>
      <c r="AF56" s="5" t="s">
        <v>716</v>
      </c>
      <c r="AG56" s="29" t="s">
        <v>823</v>
      </c>
      <c r="AH56" s="5" t="s">
        <v>823</v>
      </c>
      <c r="AI56" s="5" t="s">
        <v>823</v>
      </c>
      <c r="AK56" s="5" t="s">
        <v>823</v>
      </c>
      <c r="AL56" s="10">
        <v>100</v>
      </c>
      <c r="AM56" s="10">
        <v>100</v>
      </c>
      <c r="AN56" s="11">
        <v>100</v>
      </c>
    </row>
    <row r="57" spans="1:40" ht="30" customHeight="1" x14ac:dyDescent="0.3">
      <c r="A57" s="5" t="s">
        <v>252</v>
      </c>
      <c r="B57" s="5" t="s">
        <v>1165</v>
      </c>
      <c r="C57" s="29" t="s">
        <v>1302</v>
      </c>
      <c r="D57" s="5" t="s">
        <v>1086</v>
      </c>
      <c r="E57" s="27">
        <v>0</v>
      </c>
      <c r="F57" s="5" t="s">
        <v>823</v>
      </c>
      <c r="G57" s="25">
        <v>7.2</v>
      </c>
      <c r="H57" s="5" t="s">
        <v>158</v>
      </c>
      <c r="I57" s="25">
        <v>7.2</v>
      </c>
      <c r="J57" s="5" t="s">
        <v>1016</v>
      </c>
      <c r="K57" s="28">
        <v>9</v>
      </c>
      <c r="L57" s="5" t="s">
        <v>95</v>
      </c>
      <c r="M57" s="25">
        <v>7.2</v>
      </c>
      <c r="N57" s="5" t="s">
        <v>349</v>
      </c>
      <c r="O57" s="27">
        <v>0</v>
      </c>
      <c r="P57" s="5" t="s">
        <v>823</v>
      </c>
      <c r="Q57" s="27">
        <v>0</v>
      </c>
      <c r="R57" s="5"/>
      <c r="S57" s="27">
        <v>0</v>
      </c>
      <c r="T57" s="5" t="s">
        <v>823</v>
      </c>
      <c r="U57" s="27">
        <f>ROUND(IF(MIN(E57,G57,I57,K57,M57,O57,Q57,S57)&lt;0, MIN(E57,G57,I57,K57,M57,O57,Q57,S57), SMALL(E57:T57,COUNTIF(E57:T57,0)+1)) * 공사설정!$C$24 / 100*AL57/ 100, 2)</f>
        <v>7.2</v>
      </c>
      <c r="V57" s="27">
        <f>ROUND(0 * 공사설정!$C$25 / 100*AM57/ 100,2)</f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f>ROUND(IF(MIN(W57:AD57)=AVERAGE(W57:AD57), 0, IF(MIN(W57:AD57)&lt;0, MIN(W57:AD57), SMALL(W57:AD57,COUNTIF(W57:AD57,0)+1))) * 공사설정!$C$26 / 100*AN57/ 100,2)</f>
        <v>0</v>
      </c>
      <c r="AF57" s="5" t="s">
        <v>892</v>
      </c>
      <c r="AG57" s="29" t="s">
        <v>823</v>
      </c>
      <c r="AH57" s="5" t="s">
        <v>823</v>
      </c>
      <c r="AI57" s="5" t="s">
        <v>823</v>
      </c>
      <c r="AK57" s="5" t="s">
        <v>823</v>
      </c>
      <c r="AL57" s="10">
        <v>100</v>
      </c>
      <c r="AM57" s="10">
        <v>100</v>
      </c>
      <c r="AN57" s="11">
        <v>100</v>
      </c>
    </row>
    <row r="58" spans="1:40" ht="30" customHeight="1" x14ac:dyDescent="0.3">
      <c r="A58" s="5" t="s">
        <v>1125</v>
      </c>
      <c r="B58" s="5" t="s">
        <v>602</v>
      </c>
      <c r="C58" s="29" t="s">
        <v>1059</v>
      </c>
      <c r="D58" s="5" t="s">
        <v>105</v>
      </c>
      <c r="E58" s="27">
        <v>0</v>
      </c>
      <c r="F58" s="5" t="s">
        <v>823</v>
      </c>
      <c r="G58" s="27">
        <v>0</v>
      </c>
      <c r="H58" s="5" t="s">
        <v>823</v>
      </c>
      <c r="I58" s="27">
        <v>0</v>
      </c>
      <c r="J58" s="5" t="s">
        <v>823</v>
      </c>
      <c r="K58" s="27">
        <v>0</v>
      </c>
      <c r="L58" s="5" t="s">
        <v>823</v>
      </c>
      <c r="M58" s="27">
        <v>0</v>
      </c>
      <c r="N58" s="5" t="s">
        <v>823</v>
      </c>
      <c r="O58" s="27">
        <v>0</v>
      </c>
      <c r="P58" s="5" t="s">
        <v>239</v>
      </c>
      <c r="Q58" s="27">
        <v>0</v>
      </c>
      <c r="R58" s="5" t="s">
        <v>823</v>
      </c>
      <c r="S58" s="27">
        <v>0</v>
      </c>
      <c r="T58" s="5" t="s">
        <v>823</v>
      </c>
      <c r="U58" s="27">
        <f>0*AL58/ 100</f>
        <v>0</v>
      </c>
      <c r="V58" s="27">
        <f>ROUND(0 * 공사설정!$C$25 / 100*AM58/ 100,2)</f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f>ROUND(IF(MIN(W58:AD58)=AVERAGE(W58:AD58), 0, IF(MIN(W58:AD58)&lt;0, MIN(W58:AD58), SMALL(W58:AD58,COUNTIF(W58:AD58,0)+1))) * 공사설정!$C$26 / 100*AN58/ 100,2)</f>
        <v>0</v>
      </c>
      <c r="AF58" s="5" t="s">
        <v>1236</v>
      </c>
      <c r="AG58" s="29" t="s">
        <v>823</v>
      </c>
      <c r="AH58" s="5" t="s">
        <v>823</v>
      </c>
      <c r="AI58" s="5" t="s">
        <v>823</v>
      </c>
      <c r="AK58" s="5" t="s">
        <v>823</v>
      </c>
      <c r="AL58" s="10">
        <v>100</v>
      </c>
      <c r="AM58" s="10">
        <v>100</v>
      </c>
      <c r="AN58" s="11">
        <v>100</v>
      </c>
    </row>
    <row r="59" spans="1:40" ht="30" customHeight="1" x14ac:dyDescent="0.3">
      <c r="A59" s="5" t="s">
        <v>694</v>
      </c>
      <c r="B59" s="5" t="s">
        <v>589</v>
      </c>
      <c r="C59" s="29" t="s">
        <v>364</v>
      </c>
      <c r="D59" s="5" t="s">
        <v>1001</v>
      </c>
      <c r="E59" s="27">
        <v>0</v>
      </c>
      <c r="F59" s="5" t="s">
        <v>823</v>
      </c>
      <c r="G59" s="27">
        <v>0</v>
      </c>
      <c r="H59" s="5" t="s">
        <v>823</v>
      </c>
      <c r="I59" s="27">
        <v>0</v>
      </c>
      <c r="J59" s="5" t="s">
        <v>823</v>
      </c>
      <c r="K59" s="27">
        <v>0</v>
      </c>
      <c r="L59" s="5" t="s">
        <v>823</v>
      </c>
      <c r="M59" s="27">
        <v>0</v>
      </c>
      <c r="N59" s="5" t="s">
        <v>823</v>
      </c>
      <c r="O59" s="27">
        <v>0</v>
      </c>
      <c r="P59" s="5" t="s">
        <v>823</v>
      </c>
      <c r="Q59" s="27">
        <v>0</v>
      </c>
      <c r="R59" s="5" t="s">
        <v>823</v>
      </c>
      <c r="S59" s="27">
        <v>0</v>
      </c>
      <c r="T59" s="5" t="s">
        <v>823</v>
      </c>
      <c r="U59" s="27">
        <f>0*AL59/ 100</f>
        <v>0</v>
      </c>
      <c r="V59" s="27">
        <f>ROUND(0 * 공사설정!$C$25 / 100*AM59/ 100,2)</f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10">
        <v>2760000</v>
      </c>
      <c r="AC59" s="27">
        <v>0</v>
      </c>
      <c r="AD59" s="27">
        <v>0</v>
      </c>
      <c r="AE59" s="27">
        <f>ROUND(IF(MIN(W59:AD59)&lt;0, MIN(W59:AD59), SMALL(W59:AD59,COUNTIF(W59:AD59,0)+1)) * 공사설정!$C$26 / 100*AN59/ 100,2)</f>
        <v>2760000</v>
      </c>
      <c r="AF59" s="5" t="s">
        <v>327</v>
      </c>
      <c r="AG59" s="29" t="s">
        <v>823</v>
      </c>
      <c r="AH59" s="5" t="s">
        <v>823</v>
      </c>
      <c r="AI59" s="5" t="s">
        <v>823</v>
      </c>
      <c r="AK59" s="5" t="s">
        <v>823</v>
      </c>
      <c r="AL59" s="10">
        <v>100</v>
      </c>
      <c r="AM59" s="10">
        <v>100</v>
      </c>
      <c r="AN59" s="11">
        <v>100</v>
      </c>
    </row>
    <row r="60" spans="1:40" ht="30" customHeight="1" x14ac:dyDescent="0.3">
      <c r="A60" s="5" t="s">
        <v>445</v>
      </c>
      <c r="B60" s="5" t="s">
        <v>877</v>
      </c>
      <c r="C60" s="29" t="s">
        <v>507</v>
      </c>
      <c r="D60" s="5" t="s">
        <v>757</v>
      </c>
      <c r="E60" s="27">
        <v>0</v>
      </c>
      <c r="F60" s="5" t="s">
        <v>823</v>
      </c>
      <c r="G60" s="27">
        <v>0</v>
      </c>
      <c r="H60" s="5" t="s">
        <v>823</v>
      </c>
      <c r="I60" s="27">
        <v>0</v>
      </c>
      <c r="J60" s="5" t="s">
        <v>823</v>
      </c>
      <c r="K60" s="27">
        <v>0</v>
      </c>
      <c r="L60" s="5" t="s">
        <v>823</v>
      </c>
      <c r="M60" s="27">
        <v>0</v>
      </c>
      <c r="N60" s="5" t="s">
        <v>823</v>
      </c>
      <c r="O60" s="27">
        <v>0</v>
      </c>
      <c r="P60" s="5" t="s">
        <v>823</v>
      </c>
      <c r="Q60" s="27">
        <v>0</v>
      </c>
      <c r="R60" s="5" t="s">
        <v>823</v>
      </c>
      <c r="S60" s="27">
        <v>0</v>
      </c>
      <c r="T60" s="5" t="s">
        <v>823</v>
      </c>
      <c r="U60" s="27">
        <f>0*AL60/ 100</f>
        <v>0</v>
      </c>
      <c r="V60" s="27">
        <f>ROUND(0 * 공사설정!$C$25 / 100*AM60/ 100,2)</f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10">
        <v>124000</v>
      </c>
      <c r="AC60" s="27">
        <v>0</v>
      </c>
      <c r="AD60" s="27">
        <v>0</v>
      </c>
      <c r="AE60" s="27">
        <f>ROUND(IF(MIN(W60:AD60)&lt;0, MIN(W60:AD60), SMALL(W60:AD60,COUNTIF(W60:AD60,0)+1)) * 공사설정!$C$26 / 100*AN60/ 100,2)</f>
        <v>124000</v>
      </c>
      <c r="AF60" s="5" t="s">
        <v>14</v>
      </c>
      <c r="AG60" s="29" t="s">
        <v>823</v>
      </c>
      <c r="AH60" s="5" t="s">
        <v>823</v>
      </c>
      <c r="AI60" s="5" t="s">
        <v>823</v>
      </c>
      <c r="AK60" s="5" t="s">
        <v>823</v>
      </c>
      <c r="AL60" s="10">
        <v>100</v>
      </c>
      <c r="AM60" s="10">
        <v>100</v>
      </c>
      <c r="AN60" s="11">
        <v>100</v>
      </c>
    </row>
    <row r="61" spans="1:40" ht="30" customHeight="1" x14ac:dyDescent="0.3">
      <c r="A61" s="5" t="s">
        <v>166</v>
      </c>
      <c r="B61" s="5" t="s">
        <v>939</v>
      </c>
      <c r="C61" s="29" t="s">
        <v>208</v>
      </c>
      <c r="D61" s="5" t="s">
        <v>1086</v>
      </c>
      <c r="E61" s="27">
        <v>0</v>
      </c>
      <c r="F61" s="5" t="s">
        <v>823</v>
      </c>
      <c r="G61" s="27">
        <v>0</v>
      </c>
      <c r="H61" s="5" t="s">
        <v>823</v>
      </c>
      <c r="I61" s="27">
        <v>0</v>
      </c>
      <c r="J61" s="5" t="s">
        <v>823</v>
      </c>
      <c r="K61" s="27">
        <v>0</v>
      </c>
      <c r="L61" s="5" t="s">
        <v>823</v>
      </c>
      <c r="M61" s="27">
        <v>0</v>
      </c>
      <c r="N61" s="5" t="s">
        <v>823</v>
      </c>
      <c r="O61" s="28">
        <v>2700</v>
      </c>
      <c r="P61" s="5" t="s">
        <v>239</v>
      </c>
      <c r="Q61" s="27">
        <v>0</v>
      </c>
      <c r="R61" s="5" t="s">
        <v>823</v>
      </c>
      <c r="S61" s="27">
        <v>0</v>
      </c>
      <c r="T61" s="5" t="s">
        <v>823</v>
      </c>
      <c r="U61" s="27">
        <f>ROUND(IF(MIN(E61,G61,I61,K61,M61,O61,Q61,S61)&lt;0, MIN(E61,G61,I61,K61,M61,O61,Q61,S61), SMALL(E61:T61,COUNTIF(E61:T61,0)+1)) * 공사설정!$C$24 / 100*AL61/ 100, 2)</f>
        <v>2700</v>
      </c>
      <c r="V61" s="27">
        <f>ROUND(0 * 공사설정!$C$25 / 100*AM61/ 100,2)</f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f>ROUND(IF(MIN(W61:AD61)=AVERAGE(W61:AD61), 0, IF(MIN(W61:AD61)&lt;0, MIN(W61:AD61), SMALL(W61:AD61,COUNTIF(W61:AD61,0)+1))) * 공사설정!$C$26 / 100*AN61/ 100,2)</f>
        <v>0</v>
      </c>
      <c r="AF61" s="5" t="s">
        <v>272</v>
      </c>
      <c r="AG61" s="29" t="s">
        <v>823</v>
      </c>
      <c r="AH61" s="5" t="s">
        <v>823</v>
      </c>
      <c r="AI61" s="5" t="s">
        <v>823</v>
      </c>
      <c r="AK61" s="5" t="s">
        <v>823</v>
      </c>
      <c r="AL61" s="10">
        <v>100</v>
      </c>
      <c r="AM61" s="10">
        <v>100</v>
      </c>
      <c r="AN61" s="11">
        <v>100</v>
      </c>
    </row>
    <row r="62" spans="1:40" ht="30" customHeight="1" x14ac:dyDescent="0.3">
      <c r="A62" s="5" t="s">
        <v>772</v>
      </c>
      <c r="B62" s="5" t="s">
        <v>430</v>
      </c>
      <c r="C62" s="29" t="s">
        <v>127</v>
      </c>
      <c r="D62" s="5" t="s">
        <v>1086</v>
      </c>
      <c r="E62" s="27">
        <v>0</v>
      </c>
      <c r="F62" s="5" t="s">
        <v>823</v>
      </c>
      <c r="G62" s="27">
        <v>0</v>
      </c>
      <c r="H62" s="5" t="s">
        <v>823</v>
      </c>
      <c r="I62" s="27">
        <v>0</v>
      </c>
      <c r="J62" s="5" t="s">
        <v>823</v>
      </c>
      <c r="K62" s="27">
        <v>0</v>
      </c>
      <c r="L62" s="5" t="s">
        <v>823</v>
      </c>
      <c r="M62" s="27">
        <v>0</v>
      </c>
      <c r="N62" s="5" t="s">
        <v>823</v>
      </c>
      <c r="O62" s="28">
        <v>165000</v>
      </c>
      <c r="P62" s="5" t="s">
        <v>823</v>
      </c>
      <c r="Q62" s="27">
        <v>0</v>
      </c>
      <c r="R62" s="5" t="s">
        <v>823</v>
      </c>
      <c r="S62" s="27">
        <v>0</v>
      </c>
      <c r="T62" s="5" t="s">
        <v>823</v>
      </c>
      <c r="U62" s="27">
        <f>ROUND(IF(MIN(E62,G62,I62,K62,M62,O62,Q62,S62)&lt;0, MIN(E62,G62,I62,K62,M62,O62,Q62,S62), SMALL(E62:T62,COUNTIF(E62:T62,0)+1)) * 공사설정!$C$24 / 100*AL62/ 100, 2)</f>
        <v>165000</v>
      </c>
      <c r="V62" s="27">
        <f>ROUND(0 * 공사설정!$C$25 / 100*AM62/ 100,2)</f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f>ROUND(IF(MIN(W62:AD62)=AVERAGE(W62:AD62), 0, IF(MIN(W62:AD62)&lt;0, MIN(W62:AD62), SMALL(W62:AD62,COUNTIF(W62:AD62,0)+1))) * 공사설정!$C$26 / 100*AN62/ 100,2)</f>
        <v>0</v>
      </c>
      <c r="AF62" s="5" t="s">
        <v>1063</v>
      </c>
      <c r="AG62" s="29" t="s">
        <v>823</v>
      </c>
      <c r="AH62" s="5" t="s">
        <v>823</v>
      </c>
      <c r="AI62" s="5" t="s">
        <v>823</v>
      </c>
      <c r="AK62" s="5" t="s">
        <v>823</v>
      </c>
      <c r="AL62" s="10">
        <v>100</v>
      </c>
      <c r="AM62" s="10">
        <v>100</v>
      </c>
      <c r="AN62" s="11">
        <v>100</v>
      </c>
    </row>
    <row r="63" spans="1:40" ht="30" customHeight="1" x14ac:dyDescent="0.3">
      <c r="A63" s="5" t="s">
        <v>1006</v>
      </c>
      <c r="B63" s="5" t="s">
        <v>308</v>
      </c>
      <c r="C63" s="29" t="s">
        <v>911</v>
      </c>
      <c r="D63" s="5" t="s">
        <v>1224</v>
      </c>
      <c r="E63" s="25">
        <v>3125.8</v>
      </c>
      <c r="F63" s="5" t="s">
        <v>823</v>
      </c>
      <c r="G63" s="27">
        <v>3125.44</v>
      </c>
      <c r="H63" s="5" t="s">
        <v>700</v>
      </c>
      <c r="I63" s="27">
        <v>0</v>
      </c>
      <c r="J63" s="5" t="s">
        <v>823</v>
      </c>
      <c r="K63" s="27">
        <v>0</v>
      </c>
      <c r="L63" s="5" t="s">
        <v>823</v>
      </c>
      <c r="M63" s="27">
        <v>0</v>
      </c>
      <c r="N63" s="5" t="s">
        <v>823</v>
      </c>
      <c r="O63" s="27">
        <v>0</v>
      </c>
      <c r="P63" s="5" t="s">
        <v>823</v>
      </c>
      <c r="Q63" s="27">
        <v>0</v>
      </c>
      <c r="R63" s="5" t="s">
        <v>823</v>
      </c>
      <c r="S63" s="27">
        <v>0</v>
      </c>
      <c r="T63" s="5" t="s">
        <v>823</v>
      </c>
      <c r="U63" s="27">
        <f>ROUND(IF(MIN(E63,G63,I63,K63,M63,O63,Q63,S63)&lt;0, MIN(E63,G63,I63,K63,M63,O63,Q63,S63), SMALL(E63:T63,COUNTIF(E63:T63,0)+1)) * 공사설정!$C$24 / 100*AL63/ 100, 2)</f>
        <v>3125.44</v>
      </c>
      <c r="V63" s="27">
        <f>ROUND(0 * 공사설정!$C$25 / 100*AM63/ 100,2)</f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f>ROUND(IF(MIN(W63:AD63)=AVERAGE(W63:AD63), 0, IF(MIN(W63:AD63)&lt;0, MIN(W63:AD63), SMALL(W63:AD63,COUNTIF(W63:AD63,0)+1))) * 공사설정!$C$26 / 100*AN63/ 100,2)</f>
        <v>0</v>
      </c>
      <c r="AF63" s="5" t="s">
        <v>1111</v>
      </c>
      <c r="AG63" s="29" t="s">
        <v>377</v>
      </c>
      <c r="AH63" s="5" t="s">
        <v>823</v>
      </c>
      <c r="AI63" s="5" t="s">
        <v>823</v>
      </c>
      <c r="AK63" s="5" t="s">
        <v>823</v>
      </c>
      <c r="AL63" s="10">
        <v>100</v>
      </c>
      <c r="AM63" s="10">
        <v>100</v>
      </c>
      <c r="AN63" s="11">
        <v>100</v>
      </c>
    </row>
    <row r="64" spans="1:40" ht="30" customHeight="1" x14ac:dyDescent="0.3">
      <c r="A64" s="5" t="s">
        <v>973</v>
      </c>
      <c r="B64" s="5" t="s">
        <v>358</v>
      </c>
      <c r="C64" s="29" t="s">
        <v>385</v>
      </c>
      <c r="D64" s="5" t="s">
        <v>290</v>
      </c>
      <c r="E64" s="28">
        <v>8402</v>
      </c>
      <c r="F64" s="5" t="s">
        <v>1237</v>
      </c>
      <c r="G64" s="27">
        <v>0</v>
      </c>
      <c r="H64" s="5" t="s">
        <v>823</v>
      </c>
      <c r="I64" s="27">
        <v>0</v>
      </c>
      <c r="J64" s="5" t="s">
        <v>823</v>
      </c>
      <c r="K64" s="27">
        <v>0</v>
      </c>
      <c r="L64" s="5" t="s">
        <v>823</v>
      </c>
      <c r="M64" s="27">
        <v>0</v>
      </c>
      <c r="N64" s="5" t="s">
        <v>823</v>
      </c>
      <c r="O64" s="27">
        <v>0</v>
      </c>
      <c r="P64" s="5" t="s">
        <v>823</v>
      </c>
      <c r="Q64" s="27">
        <v>0</v>
      </c>
      <c r="R64" s="5" t="s">
        <v>823</v>
      </c>
      <c r="S64" s="27">
        <v>0</v>
      </c>
      <c r="T64" s="5" t="s">
        <v>823</v>
      </c>
      <c r="U64" s="27">
        <f>ROUND(IF(MIN(E64,G64,I64,K64,M64,O64,Q64,S64)&lt;0, MIN(E64,G64,I64,K64,M64,O64,Q64,S64), SMALL(E64:T64,COUNTIF(E64:T64,0)+1)) * 공사설정!$C$24 / 100*AL64/ 100, 2)</f>
        <v>8402</v>
      </c>
      <c r="V64" s="27">
        <f>ROUND(0 * 공사설정!$C$25 / 100*AM64/ 100,2)</f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f>ROUND(IF(MIN(W64:AD64)=AVERAGE(W64:AD64), 0, IF(MIN(W64:AD64)&lt;0, MIN(W64:AD64), SMALL(W64:AD64,COUNTIF(W64:AD64,0)+1))) * 공사설정!$C$26 / 100*AN64/ 100,2)</f>
        <v>0</v>
      </c>
      <c r="AF64" s="5" t="s">
        <v>1197</v>
      </c>
      <c r="AG64" s="29" t="s">
        <v>823</v>
      </c>
      <c r="AH64" s="5" t="s">
        <v>823</v>
      </c>
      <c r="AI64" s="5" t="s">
        <v>823</v>
      </c>
      <c r="AK64" s="5" t="s">
        <v>823</v>
      </c>
      <c r="AL64" s="10">
        <v>100</v>
      </c>
      <c r="AM64" s="10">
        <v>100</v>
      </c>
      <c r="AN64" s="11">
        <v>100</v>
      </c>
    </row>
    <row r="65" spans="1:40" ht="30" customHeight="1" x14ac:dyDescent="0.3">
      <c r="A65" s="5" t="s">
        <v>1208</v>
      </c>
      <c r="B65" s="5" t="s">
        <v>38</v>
      </c>
      <c r="C65" s="29" t="s">
        <v>54</v>
      </c>
      <c r="D65" s="5" t="s">
        <v>290</v>
      </c>
      <c r="E65" s="28">
        <v>6067</v>
      </c>
      <c r="F65" s="5" t="s">
        <v>1237</v>
      </c>
      <c r="G65" s="27">
        <v>10555.55</v>
      </c>
      <c r="H65" s="5" t="s">
        <v>817</v>
      </c>
      <c r="I65" s="27">
        <v>0</v>
      </c>
      <c r="J65" s="5"/>
      <c r="K65" s="27">
        <v>7455.56</v>
      </c>
      <c r="L65" s="5" t="s">
        <v>782</v>
      </c>
      <c r="M65" s="27">
        <v>12277.78</v>
      </c>
      <c r="N65" s="5" t="s">
        <v>580</v>
      </c>
      <c r="O65" s="27">
        <v>0</v>
      </c>
      <c r="P65" s="5" t="s">
        <v>823</v>
      </c>
      <c r="Q65" s="27">
        <v>0</v>
      </c>
      <c r="R65" s="5"/>
      <c r="S65" s="27">
        <v>0</v>
      </c>
      <c r="T65" s="5" t="s">
        <v>823</v>
      </c>
      <c r="U65" s="27">
        <f>ROUND(IF(MIN(E65,G65,I65,K65,M65,O65,Q65,S65)&lt;0, MIN(E65,G65,I65,K65,M65,O65,Q65,S65), SMALL(E65:T65,COUNTIF(E65:T65,0)+1)) * 공사설정!$C$24 / 100*AL65/ 100, 2)</f>
        <v>6067</v>
      </c>
      <c r="V65" s="27">
        <f>ROUND(0 * 공사설정!$C$25 / 100*AM65/ 100,2)</f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f>ROUND(IF(MIN(W65:AD65)=AVERAGE(W65:AD65), 0, IF(MIN(W65:AD65)&lt;0, MIN(W65:AD65), SMALL(W65:AD65,COUNTIF(W65:AD65,0)+1))) * 공사설정!$C$26 / 100*AN65/ 100,2)</f>
        <v>0</v>
      </c>
      <c r="AF65" s="5" t="s">
        <v>965</v>
      </c>
      <c r="AG65" s="29" t="s">
        <v>823</v>
      </c>
      <c r="AH65" s="5" t="s">
        <v>823</v>
      </c>
      <c r="AI65" s="5" t="s">
        <v>823</v>
      </c>
      <c r="AK65" s="5" t="s">
        <v>823</v>
      </c>
      <c r="AL65" s="10">
        <v>100</v>
      </c>
      <c r="AM65" s="10">
        <v>100</v>
      </c>
      <c r="AN65" s="11">
        <v>100</v>
      </c>
    </row>
    <row r="66" spans="1:40" ht="30" customHeight="1" x14ac:dyDescent="0.3">
      <c r="A66" s="5" t="s">
        <v>664</v>
      </c>
      <c r="B66" s="5" t="s">
        <v>21</v>
      </c>
      <c r="C66" s="29" t="s">
        <v>1130</v>
      </c>
      <c r="D66" s="5" t="s">
        <v>290</v>
      </c>
      <c r="E66" s="27">
        <v>0</v>
      </c>
      <c r="F66" s="5" t="s">
        <v>823</v>
      </c>
      <c r="G66" s="27">
        <v>3583.33</v>
      </c>
      <c r="H66" s="5" t="s">
        <v>698</v>
      </c>
      <c r="I66" s="27">
        <v>3888.88</v>
      </c>
      <c r="J66" s="5" t="s">
        <v>1010</v>
      </c>
      <c r="K66" s="27">
        <v>3888.89</v>
      </c>
      <c r="L66" s="5" t="s">
        <v>1241</v>
      </c>
      <c r="M66" s="28">
        <v>2708</v>
      </c>
      <c r="N66" s="5" t="s">
        <v>68</v>
      </c>
      <c r="O66" s="27">
        <v>0</v>
      </c>
      <c r="P66" s="5" t="s">
        <v>823</v>
      </c>
      <c r="Q66" s="27">
        <v>0</v>
      </c>
      <c r="R66" s="5" t="s">
        <v>823</v>
      </c>
      <c r="S66" s="27">
        <v>0</v>
      </c>
      <c r="T66" s="5" t="s">
        <v>823</v>
      </c>
      <c r="U66" s="27">
        <f>ROUND(IF(MIN(E66,G66,I66,K66,M66,O66,Q66,S66)&lt;0, MIN(E66,G66,I66,K66,M66,O66,Q66,S66), SMALL(E66:T66,COUNTIF(E66:T66,0)+1)) * 공사설정!$C$24 / 100*AL66/ 100, 2)</f>
        <v>2708</v>
      </c>
      <c r="V66" s="27">
        <f>ROUND(0 * 공사설정!$C$25 / 100*AM66/ 100,2)</f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f>ROUND(IF(MIN(W66:AD66)=AVERAGE(W66:AD66), 0, IF(MIN(W66:AD66)&lt;0, MIN(W66:AD66), SMALL(W66:AD66,COUNTIF(W66:AD66,0)+1))) * 공사설정!$C$26 / 100*AN66/ 100,2)</f>
        <v>0</v>
      </c>
      <c r="AF66" s="5" t="s">
        <v>1200</v>
      </c>
      <c r="AG66" s="29" t="s">
        <v>823</v>
      </c>
      <c r="AH66" s="5" t="s">
        <v>823</v>
      </c>
      <c r="AI66" s="5" t="s">
        <v>823</v>
      </c>
      <c r="AK66" s="5" t="s">
        <v>823</v>
      </c>
      <c r="AL66" s="10">
        <v>100</v>
      </c>
      <c r="AM66" s="10">
        <v>100</v>
      </c>
      <c r="AN66" s="11">
        <v>100</v>
      </c>
    </row>
    <row r="67" spans="1:40" ht="30" customHeight="1" x14ac:dyDescent="0.3">
      <c r="A67" s="5" t="s">
        <v>756</v>
      </c>
      <c r="B67" s="5" t="s">
        <v>934</v>
      </c>
      <c r="C67" s="29" t="s">
        <v>1112</v>
      </c>
      <c r="D67" s="5" t="s">
        <v>1086</v>
      </c>
      <c r="E67" s="28">
        <v>42080</v>
      </c>
      <c r="F67" s="5" t="s">
        <v>1237</v>
      </c>
      <c r="G67" s="28">
        <v>49500</v>
      </c>
      <c r="H67" s="5" t="s">
        <v>768</v>
      </c>
      <c r="I67" s="28">
        <v>56000</v>
      </c>
      <c r="J67" s="5" t="s">
        <v>496</v>
      </c>
      <c r="K67" s="27">
        <v>0</v>
      </c>
      <c r="L67" s="5" t="s">
        <v>823</v>
      </c>
      <c r="M67" s="27">
        <v>0</v>
      </c>
      <c r="N67" s="5" t="s">
        <v>823</v>
      </c>
      <c r="O67" s="27">
        <v>0</v>
      </c>
      <c r="P67" s="5" t="s">
        <v>823</v>
      </c>
      <c r="Q67" s="27">
        <v>0</v>
      </c>
      <c r="R67" s="5" t="s">
        <v>823</v>
      </c>
      <c r="S67" s="27">
        <v>0</v>
      </c>
      <c r="T67" s="5" t="s">
        <v>823</v>
      </c>
      <c r="U67" s="27">
        <f>ROUND(IF(MIN(E67,G67,I67,K67,M67,O67,Q67,S67)&lt;0, MIN(E67,G67,I67,K67,M67,O67,Q67,S67), SMALL(E67:T67,COUNTIF(E67:T67,0)+1)) * 공사설정!$C$24 / 100*AL67/ 100, 2)</f>
        <v>42080</v>
      </c>
      <c r="V67" s="27">
        <f>ROUND(0 * 공사설정!$C$25 / 100*AM67/ 100,2)</f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f>ROUND(IF(MIN(W67:AD67)=AVERAGE(W67:AD67), 0, IF(MIN(W67:AD67)&lt;0, MIN(W67:AD67), SMALL(W67:AD67,COUNTIF(W67:AD67,0)+1))) * 공사설정!$C$26 / 100*AN67/ 100,2)</f>
        <v>0</v>
      </c>
      <c r="AF67" s="5" t="s">
        <v>491</v>
      </c>
      <c r="AG67" s="29" t="s">
        <v>823</v>
      </c>
      <c r="AH67" s="5" t="s">
        <v>823</v>
      </c>
      <c r="AI67" s="5" t="s">
        <v>823</v>
      </c>
      <c r="AK67" s="5" t="s">
        <v>823</v>
      </c>
      <c r="AL67" s="10">
        <v>100</v>
      </c>
      <c r="AM67" s="10">
        <v>100</v>
      </c>
      <c r="AN67" s="11">
        <v>100</v>
      </c>
    </row>
    <row r="68" spans="1:40" ht="30" customHeight="1" x14ac:dyDescent="0.3">
      <c r="A68" s="5" t="s">
        <v>824</v>
      </c>
      <c r="B68" s="5" t="s">
        <v>0</v>
      </c>
      <c r="C68" s="29" t="s">
        <v>487</v>
      </c>
      <c r="D68" s="5" t="s">
        <v>1004</v>
      </c>
      <c r="E68" s="27">
        <v>0</v>
      </c>
      <c r="F68" s="5"/>
      <c r="G68" s="27">
        <v>0</v>
      </c>
      <c r="H68" s="5"/>
      <c r="I68" s="27">
        <v>0</v>
      </c>
      <c r="J68" s="5"/>
      <c r="K68" s="27">
        <v>0</v>
      </c>
      <c r="L68" s="5"/>
      <c r="M68" s="27">
        <v>0</v>
      </c>
      <c r="N68" s="5"/>
      <c r="O68" s="27">
        <v>41983.33</v>
      </c>
      <c r="P68" s="5"/>
      <c r="Q68" s="27">
        <v>0</v>
      </c>
      <c r="R68" s="5"/>
      <c r="S68" s="27">
        <v>0</v>
      </c>
      <c r="T68" s="5"/>
      <c r="U68" s="27">
        <f>ROUND(IF(MIN(E68,G68,I68,K68,M68,O68,Q68,S68)&lt;0, MIN(E68,G68,I68,K68,M68,O68,Q68,S68), SMALL(E68:T68,COUNTIF(E68:T68,0)+1)) * 공사설정!$C$24 / 100*AL68/ 100, 2)</f>
        <v>41983.33</v>
      </c>
      <c r="V68" s="27">
        <f>ROUND(0 * 공사설정!$C$25 / 100*AM68/ 100,2)</f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f>ROUND(IF(MIN(W68:AD68)=AVERAGE(W68:AD68), 0, IF(MIN(W68:AD68)&lt;0, MIN(W68:AD68), SMALL(W68:AD68,COUNTIF(W68:AD68,0)+1))) * 공사설정!$C$26 / 100*AN68/ 100,2)</f>
        <v>0</v>
      </c>
      <c r="AF68" s="5" t="s">
        <v>667</v>
      </c>
      <c r="AG68" s="29"/>
      <c r="AH68" s="5" t="s">
        <v>823</v>
      </c>
      <c r="AI68" s="5" t="s">
        <v>823</v>
      </c>
      <c r="AK68" s="5" t="s">
        <v>823</v>
      </c>
      <c r="AL68" s="10">
        <v>100</v>
      </c>
      <c r="AM68" s="10">
        <v>100</v>
      </c>
      <c r="AN68" s="11">
        <v>100</v>
      </c>
    </row>
    <row r="69" spans="1:40" ht="30" customHeight="1" x14ac:dyDescent="0.3">
      <c r="A69" s="5" t="s">
        <v>1159</v>
      </c>
      <c r="B69" s="5" t="s">
        <v>1123</v>
      </c>
      <c r="C69" s="29" t="s">
        <v>920</v>
      </c>
      <c r="D69" s="5" t="s">
        <v>293</v>
      </c>
      <c r="E69" s="27">
        <v>0</v>
      </c>
      <c r="F69" s="5" t="s">
        <v>823</v>
      </c>
      <c r="G69" s="28">
        <v>3340</v>
      </c>
      <c r="H69" s="5" t="s">
        <v>832</v>
      </c>
      <c r="I69" s="28">
        <v>3340</v>
      </c>
      <c r="J69" s="5" t="s">
        <v>737</v>
      </c>
      <c r="K69" s="28">
        <v>3340</v>
      </c>
      <c r="L69" s="5" t="s">
        <v>108</v>
      </c>
      <c r="M69" s="28">
        <v>3340</v>
      </c>
      <c r="N69" s="5" t="s">
        <v>99</v>
      </c>
      <c r="O69" s="27">
        <v>0</v>
      </c>
      <c r="P69" s="5" t="s">
        <v>823</v>
      </c>
      <c r="Q69" s="27">
        <v>0</v>
      </c>
      <c r="R69" s="5"/>
      <c r="S69" s="27">
        <v>0</v>
      </c>
      <c r="T69" s="5" t="s">
        <v>823</v>
      </c>
      <c r="U69" s="27">
        <f>ROUND(IF(MIN(E69,G69,I69,K69,M69,O69,Q69,S69)&lt;0, MIN(E69,G69,I69,K69,M69,O69,Q69,S69), SMALL(E69:T69,COUNTIF(E69:T69,0)+1)) * 공사설정!$C$24 / 100*AL69/ 100, 2)</f>
        <v>3340</v>
      </c>
      <c r="V69" s="27">
        <f>ROUND(0 * 공사설정!$C$25 / 100*AM69/ 100,2)</f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f>ROUND(IF(MIN(W69:AD69)=AVERAGE(W69:AD69), 0, IF(MIN(W69:AD69)&lt;0, MIN(W69:AD69), SMALL(W69:AD69,COUNTIF(W69:AD69,0)+1))) * 공사설정!$C$26 / 100*AN69/ 100,2)</f>
        <v>0</v>
      </c>
      <c r="AF69" s="5" t="s">
        <v>995</v>
      </c>
      <c r="AG69" s="29" t="s">
        <v>823</v>
      </c>
      <c r="AH69" s="5" t="s">
        <v>823</v>
      </c>
      <c r="AI69" s="5" t="s">
        <v>823</v>
      </c>
      <c r="AK69" s="5" t="s">
        <v>1281</v>
      </c>
      <c r="AL69" s="10">
        <v>100</v>
      </c>
      <c r="AM69" s="10">
        <v>100</v>
      </c>
      <c r="AN69" s="11">
        <v>100</v>
      </c>
    </row>
    <row r="70" spans="1:40" ht="30" customHeight="1" x14ac:dyDescent="0.3">
      <c r="A70" s="5" t="s">
        <v>648</v>
      </c>
      <c r="B70" s="5" t="s">
        <v>24</v>
      </c>
      <c r="C70" s="29" t="s">
        <v>20</v>
      </c>
      <c r="D70" s="5" t="s">
        <v>293</v>
      </c>
      <c r="E70" s="27">
        <v>0</v>
      </c>
      <c r="F70" s="5" t="s">
        <v>823</v>
      </c>
      <c r="G70" s="28">
        <v>3930</v>
      </c>
      <c r="H70" s="5" t="s">
        <v>832</v>
      </c>
      <c r="I70" s="28">
        <v>3930</v>
      </c>
      <c r="J70" s="5" t="s">
        <v>737</v>
      </c>
      <c r="K70" s="28">
        <v>1950</v>
      </c>
      <c r="L70" s="5" t="s">
        <v>108</v>
      </c>
      <c r="M70" s="28">
        <v>3930</v>
      </c>
      <c r="N70" s="5" t="s">
        <v>99</v>
      </c>
      <c r="O70" s="27">
        <v>0</v>
      </c>
      <c r="P70" s="5" t="s">
        <v>823</v>
      </c>
      <c r="Q70" s="27">
        <v>0</v>
      </c>
      <c r="R70" s="5"/>
      <c r="S70" s="27">
        <v>0</v>
      </c>
      <c r="T70" s="5" t="s">
        <v>823</v>
      </c>
      <c r="U70" s="27">
        <f>ROUND(IF(MIN(E70,G70,I70,K70,M70,O70,Q70,S70)&lt;0, MIN(E70,G70,I70,K70,M70,O70,Q70,S70), SMALL(E70:T70,COUNTIF(E70:T70,0)+1)) * 공사설정!$C$24 / 100*AL70/ 100, 2)</f>
        <v>1950</v>
      </c>
      <c r="V70" s="27">
        <f>ROUND(0 * 공사설정!$C$25 / 100*AM70/ 100,2)</f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f>ROUND(IF(MIN(W70:AD70)=AVERAGE(W70:AD70), 0, IF(MIN(W70:AD70)&lt;0, MIN(W70:AD70), SMALL(W70:AD70,COUNTIF(W70:AD70,0)+1))) * 공사설정!$C$26 / 100*AN70/ 100,2)</f>
        <v>0</v>
      </c>
      <c r="AF70" s="5" t="s">
        <v>1205</v>
      </c>
      <c r="AG70" s="29" t="s">
        <v>823</v>
      </c>
      <c r="AH70" s="5" t="s">
        <v>823</v>
      </c>
      <c r="AI70" s="5" t="s">
        <v>823</v>
      </c>
      <c r="AK70" s="5" t="s">
        <v>1281</v>
      </c>
      <c r="AL70" s="10">
        <v>100</v>
      </c>
      <c r="AM70" s="10">
        <v>100</v>
      </c>
      <c r="AN70" s="11">
        <v>100</v>
      </c>
    </row>
    <row r="71" spans="1:40" ht="30" customHeight="1" x14ac:dyDescent="0.3">
      <c r="A71" s="5" t="s">
        <v>1307</v>
      </c>
      <c r="B71" s="5" t="s">
        <v>1182</v>
      </c>
      <c r="C71" s="29" t="s">
        <v>12</v>
      </c>
      <c r="D71" s="5" t="s">
        <v>415</v>
      </c>
      <c r="E71" s="27">
        <v>0</v>
      </c>
      <c r="F71" s="5"/>
      <c r="G71" s="28">
        <v>1180000</v>
      </c>
      <c r="H71" s="5" t="s">
        <v>563</v>
      </c>
      <c r="I71" s="27">
        <v>0</v>
      </c>
      <c r="J71" s="5" t="s">
        <v>823</v>
      </c>
      <c r="K71" s="27">
        <v>0</v>
      </c>
      <c r="L71" s="5"/>
      <c r="M71" s="27">
        <v>0</v>
      </c>
      <c r="N71" s="5" t="s">
        <v>823</v>
      </c>
      <c r="O71" s="27">
        <v>0</v>
      </c>
      <c r="P71" s="5"/>
      <c r="Q71" s="27">
        <v>0</v>
      </c>
      <c r="R71" s="5"/>
      <c r="S71" s="27">
        <v>0</v>
      </c>
      <c r="T71" s="5"/>
      <c r="U71" s="27">
        <f>ROUND(IF(MIN(E71,G71,I71,K71,M71,O71,Q71,S71)&lt;0, MIN(E71,G71,I71,K71,M71,O71,Q71,S71), SMALL(E71:T71,COUNTIF(E71:T71,0)+1)) * 공사설정!$C$24 / 100*AL71/ 100, 2)</f>
        <v>1180000</v>
      </c>
      <c r="V71" s="27">
        <f>ROUND(0 * 공사설정!$C$25 / 100*AM71/ 100,2)</f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f>ROUND(IF(MIN(W71:AD71)=AVERAGE(W71:AD71), 0, IF(MIN(W71:AD71)&lt;0, MIN(W71:AD71), SMALL(W71:AD71,COUNTIF(W71:AD71,0)+1))) * 공사설정!$C$26 / 100*AN71/ 100,2)</f>
        <v>0</v>
      </c>
      <c r="AF71" s="5" t="s">
        <v>680</v>
      </c>
      <c r="AG71" s="29"/>
      <c r="AH71" s="5" t="s">
        <v>823</v>
      </c>
      <c r="AI71" s="5" t="s">
        <v>823</v>
      </c>
      <c r="AK71" s="5" t="s">
        <v>823</v>
      </c>
      <c r="AL71" s="10">
        <v>100</v>
      </c>
      <c r="AM71" s="10">
        <v>100</v>
      </c>
      <c r="AN71" s="11">
        <v>100</v>
      </c>
    </row>
    <row r="72" spans="1:40" ht="30" customHeight="1" x14ac:dyDescent="0.3">
      <c r="A72" s="5" t="s">
        <v>831</v>
      </c>
      <c r="B72" s="5" t="s">
        <v>1182</v>
      </c>
      <c r="C72" s="29" t="s">
        <v>979</v>
      </c>
      <c r="D72" s="5" t="s">
        <v>415</v>
      </c>
      <c r="E72" s="27">
        <v>0</v>
      </c>
      <c r="F72" s="5"/>
      <c r="G72" s="28">
        <v>1180000</v>
      </c>
      <c r="H72" s="5" t="s">
        <v>563</v>
      </c>
      <c r="I72" s="27">
        <v>0</v>
      </c>
      <c r="J72" s="5" t="s">
        <v>823</v>
      </c>
      <c r="K72" s="27">
        <v>0</v>
      </c>
      <c r="L72" s="5" t="s">
        <v>823</v>
      </c>
      <c r="M72" s="27">
        <v>0</v>
      </c>
      <c r="N72" s="5" t="s">
        <v>823</v>
      </c>
      <c r="O72" s="27">
        <v>0</v>
      </c>
      <c r="P72" s="5"/>
      <c r="Q72" s="27">
        <v>0</v>
      </c>
      <c r="R72" s="5"/>
      <c r="S72" s="27">
        <v>0</v>
      </c>
      <c r="T72" s="5"/>
      <c r="U72" s="27">
        <f>ROUND(IF(MIN(E72,G72,I72,K72,M72,O72,Q72,S72)&lt;0, MIN(E72,G72,I72,K72,M72,O72,Q72,S72), SMALL(E72:T72,COUNTIF(E72:T72,0)+1)) * 공사설정!$C$24 / 100*AL72/ 100, 2)</f>
        <v>1180000</v>
      </c>
      <c r="V72" s="27">
        <f>ROUND(0 * 공사설정!$C$25 / 100*AM72/ 100,2)</f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f>ROUND(IF(MIN(W72:AD72)=AVERAGE(W72:AD72), 0, IF(MIN(W72:AD72)&lt;0, MIN(W72:AD72), SMALL(W72:AD72,COUNTIF(W72:AD72,0)+1))) * 공사설정!$C$26 / 100*AN72/ 100,2)</f>
        <v>0</v>
      </c>
      <c r="AF72" s="5" t="s">
        <v>703</v>
      </c>
      <c r="AG72" s="29"/>
      <c r="AH72" s="5" t="s">
        <v>823</v>
      </c>
      <c r="AI72" s="5" t="s">
        <v>823</v>
      </c>
      <c r="AK72" s="5" t="s">
        <v>823</v>
      </c>
      <c r="AL72" s="10">
        <v>100</v>
      </c>
      <c r="AM72" s="10">
        <v>100</v>
      </c>
      <c r="AN72" s="11">
        <v>100</v>
      </c>
    </row>
    <row r="73" spans="1:40" ht="30" customHeight="1" x14ac:dyDescent="0.3">
      <c r="A73" s="5" t="s">
        <v>819</v>
      </c>
      <c r="B73" s="5" t="s">
        <v>219</v>
      </c>
      <c r="C73" s="29" t="s">
        <v>823</v>
      </c>
      <c r="D73" s="5" t="s">
        <v>1187</v>
      </c>
      <c r="E73" s="27">
        <v>0</v>
      </c>
      <c r="F73" s="5"/>
      <c r="G73" s="28">
        <v>4140</v>
      </c>
      <c r="H73" s="5" t="s">
        <v>717</v>
      </c>
      <c r="I73" s="27">
        <v>0</v>
      </c>
      <c r="J73" s="5"/>
      <c r="K73" s="27">
        <v>0</v>
      </c>
      <c r="L73" s="5"/>
      <c r="M73" s="27">
        <v>0</v>
      </c>
      <c r="N73" s="5"/>
      <c r="O73" s="27">
        <v>0</v>
      </c>
      <c r="P73" s="5"/>
      <c r="Q73" s="27">
        <v>0</v>
      </c>
      <c r="R73" s="5"/>
      <c r="S73" s="27">
        <v>0</v>
      </c>
      <c r="T73" s="5"/>
      <c r="U73" s="27">
        <f>ROUND(IF(MIN(E73,G73,I73,K73,M73,O73,Q73,S73)&lt;0, MIN(E73,G73,I73,K73,M73,O73,Q73,S73), SMALL(E73:T73,COUNTIF(E73:T73,0)+1)) * 공사설정!$C$24 / 100*AL73/ 100, 2)</f>
        <v>4140</v>
      </c>
      <c r="V73" s="27">
        <f>ROUND(0 * 공사설정!$C$25 / 100*AM73/ 100,2)</f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f>ROUND(IF(MIN(W73:AD73)=AVERAGE(W73:AD73), 0, IF(MIN(W73:AD73)&lt;0, MIN(W73:AD73), SMALL(W73:AD73,COUNTIF(W73:AD73,0)+1))) * 공사설정!$C$26 / 100*AN73/ 100,2)</f>
        <v>0</v>
      </c>
      <c r="AF73" s="5" t="s">
        <v>325</v>
      </c>
      <c r="AG73" s="29"/>
      <c r="AH73" s="5" t="s">
        <v>823</v>
      </c>
      <c r="AI73" s="5" t="s">
        <v>823</v>
      </c>
      <c r="AK73" s="5" t="s">
        <v>823</v>
      </c>
      <c r="AL73" s="10">
        <v>100</v>
      </c>
      <c r="AM73" s="10">
        <v>100</v>
      </c>
      <c r="AN73" s="11">
        <v>100</v>
      </c>
    </row>
    <row r="74" spans="1:40" ht="30" customHeight="1" x14ac:dyDescent="0.3">
      <c r="A74" s="5" t="s">
        <v>42</v>
      </c>
      <c r="B74" s="5" t="s">
        <v>143</v>
      </c>
      <c r="C74" s="29" t="s">
        <v>823</v>
      </c>
      <c r="D74" s="5" t="s">
        <v>1187</v>
      </c>
      <c r="E74" s="27">
        <v>0</v>
      </c>
      <c r="F74" s="5"/>
      <c r="G74" s="28">
        <v>9040</v>
      </c>
      <c r="H74" s="5" t="s">
        <v>632</v>
      </c>
      <c r="I74" s="27">
        <v>0</v>
      </c>
      <c r="J74" s="5"/>
      <c r="K74" s="27">
        <v>0</v>
      </c>
      <c r="L74" s="5"/>
      <c r="M74" s="27">
        <v>0</v>
      </c>
      <c r="N74" s="5"/>
      <c r="O74" s="27">
        <v>0</v>
      </c>
      <c r="P74" s="5"/>
      <c r="Q74" s="27">
        <v>0</v>
      </c>
      <c r="R74" s="5"/>
      <c r="S74" s="27">
        <v>0</v>
      </c>
      <c r="T74" s="5"/>
      <c r="U74" s="27">
        <f>ROUND(IF(MIN(E74,G74,I74,K74,M74,O74,Q74,S74)&lt;0, MIN(E74,G74,I74,K74,M74,O74,Q74,S74), SMALL(E74:T74,COUNTIF(E74:T74,0)+1)) * 공사설정!$C$24 / 100*AL74/ 100, 2)</f>
        <v>9040</v>
      </c>
      <c r="V74" s="27">
        <f>ROUND(0 * 공사설정!$C$25 / 100*AM74/ 100,2)</f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f>ROUND(IF(MIN(W74:AD74)=AVERAGE(W74:AD74), 0, IF(MIN(W74:AD74)&lt;0, MIN(W74:AD74), SMALL(W74:AD74,COUNTIF(W74:AD74,0)+1))) * 공사설정!$C$26 / 100*AN74/ 100,2)</f>
        <v>0</v>
      </c>
      <c r="AF74" s="5" t="s">
        <v>1212</v>
      </c>
      <c r="AG74" s="29"/>
      <c r="AH74" s="5" t="s">
        <v>823</v>
      </c>
      <c r="AI74" s="5" t="s">
        <v>823</v>
      </c>
      <c r="AK74" s="5" t="s">
        <v>823</v>
      </c>
      <c r="AL74" s="10">
        <v>100</v>
      </c>
      <c r="AM74" s="10">
        <v>100</v>
      </c>
      <c r="AN74" s="11">
        <v>100</v>
      </c>
    </row>
    <row r="75" spans="1:40" ht="30" customHeight="1" x14ac:dyDescent="0.3">
      <c r="A75" s="5" t="s">
        <v>1258</v>
      </c>
      <c r="B75" s="5" t="s">
        <v>863</v>
      </c>
      <c r="C75" s="29" t="s">
        <v>823</v>
      </c>
      <c r="D75" s="5" t="s">
        <v>1187</v>
      </c>
      <c r="E75" s="27">
        <v>0</v>
      </c>
      <c r="F75" s="5"/>
      <c r="G75" s="28">
        <v>12270</v>
      </c>
      <c r="H75" s="5" t="s">
        <v>632</v>
      </c>
      <c r="I75" s="27">
        <v>0</v>
      </c>
      <c r="J75" s="5"/>
      <c r="K75" s="27">
        <v>0</v>
      </c>
      <c r="L75" s="5"/>
      <c r="M75" s="27">
        <v>0</v>
      </c>
      <c r="N75" s="5"/>
      <c r="O75" s="27">
        <v>0</v>
      </c>
      <c r="P75" s="5"/>
      <c r="Q75" s="27">
        <v>0</v>
      </c>
      <c r="R75" s="5"/>
      <c r="S75" s="27">
        <v>0</v>
      </c>
      <c r="T75" s="5"/>
      <c r="U75" s="27">
        <f>ROUND(IF(MIN(E75,G75,I75,K75,M75,O75,Q75,S75)&lt;0, MIN(E75,G75,I75,K75,M75,O75,Q75,S75), SMALL(E75:T75,COUNTIF(E75:T75,0)+1)) * 공사설정!$C$24 / 100*AL75/ 100, 2)</f>
        <v>12270</v>
      </c>
      <c r="V75" s="27">
        <f>ROUND(0 * 공사설정!$C$25 / 100*AM75/ 100,2)</f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f>ROUND(IF(MIN(W75:AD75)=AVERAGE(W75:AD75), 0, IF(MIN(W75:AD75)&lt;0, MIN(W75:AD75), SMALL(W75:AD75,COUNTIF(W75:AD75,0)+1))) * 공사설정!$C$26 / 100*AN75/ 100,2)</f>
        <v>0</v>
      </c>
      <c r="AF75" s="5" t="s">
        <v>778</v>
      </c>
      <c r="AG75" s="29"/>
      <c r="AH75" s="5" t="s">
        <v>823</v>
      </c>
      <c r="AI75" s="5" t="s">
        <v>823</v>
      </c>
      <c r="AK75" s="5" t="s">
        <v>823</v>
      </c>
      <c r="AL75" s="10">
        <v>100</v>
      </c>
      <c r="AM75" s="10">
        <v>100</v>
      </c>
      <c r="AN75" s="11">
        <v>100</v>
      </c>
    </row>
    <row r="76" spans="1:40" ht="30" customHeight="1" x14ac:dyDescent="0.3">
      <c r="A76" s="5" t="s">
        <v>363</v>
      </c>
      <c r="B76" s="5" t="s">
        <v>257</v>
      </c>
      <c r="C76" s="29" t="s">
        <v>1288</v>
      </c>
      <c r="D76" s="5" t="s">
        <v>415</v>
      </c>
      <c r="E76" s="27">
        <v>0</v>
      </c>
      <c r="F76" s="5"/>
      <c r="G76" s="28">
        <v>1127000</v>
      </c>
      <c r="H76" s="5" t="s">
        <v>267</v>
      </c>
      <c r="I76" s="27">
        <v>0</v>
      </c>
      <c r="J76" s="5" t="s">
        <v>823</v>
      </c>
      <c r="K76" s="27">
        <v>0</v>
      </c>
      <c r="L76" s="5"/>
      <c r="M76" s="27">
        <v>0</v>
      </c>
      <c r="N76" s="5"/>
      <c r="O76" s="27">
        <v>0</v>
      </c>
      <c r="P76" s="5"/>
      <c r="Q76" s="27">
        <v>0</v>
      </c>
      <c r="R76" s="5"/>
      <c r="S76" s="27">
        <v>0</v>
      </c>
      <c r="T76" s="5"/>
      <c r="U76" s="27">
        <f>ROUND(IF(MIN(E76,G76,I76,K76,M76,O76,Q76,S76)&lt;0, MIN(E76,G76,I76,K76,M76,O76,Q76,S76), SMALL(E76:T76,COUNTIF(E76:T76,0)+1)) * 공사설정!$C$24 / 100*AL76/ 100, 2)</f>
        <v>1127000</v>
      </c>
      <c r="V76" s="27">
        <f>ROUND(0 * 공사설정!$C$25 / 100*AM76/ 100,2)</f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f>ROUND(IF(MIN(W76:AD76)=AVERAGE(W76:AD76), 0, IF(MIN(W76:AD76)&lt;0, MIN(W76:AD76), SMALL(W76:AD76,COUNTIF(W76:AD76,0)+1))) * 공사설정!$C$26 / 100*AN76/ 100,2)</f>
        <v>0</v>
      </c>
      <c r="AF76" s="5" t="s">
        <v>764</v>
      </c>
      <c r="AG76" s="29"/>
      <c r="AH76" s="5" t="s">
        <v>823</v>
      </c>
      <c r="AI76" s="5" t="s">
        <v>823</v>
      </c>
      <c r="AK76" s="5" t="s">
        <v>823</v>
      </c>
      <c r="AL76" s="10">
        <v>100</v>
      </c>
      <c r="AM76" s="10">
        <v>100</v>
      </c>
      <c r="AN76" s="11">
        <v>100</v>
      </c>
    </row>
    <row r="77" spans="1:40" ht="30" customHeight="1" x14ac:dyDescent="0.3">
      <c r="A77" s="5" t="s">
        <v>679</v>
      </c>
      <c r="B77" s="5" t="s">
        <v>257</v>
      </c>
      <c r="C77" s="29" t="s">
        <v>615</v>
      </c>
      <c r="D77" s="5" t="s">
        <v>415</v>
      </c>
      <c r="E77" s="27">
        <v>0</v>
      </c>
      <c r="F77" s="5"/>
      <c r="G77" s="28">
        <v>1073000</v>
      </c>
      <c r="H77" s="5" t="s">
        <v>577</v>
      </c>
      <c r="I77" s="27">
        <v>0</v>
      </c>
      <c r="J77" s="5" t="s">
        <v>823</v>
      </c>
      <c r="K77" s="27">
        <v>0</v>
      </c>
      <c r="L77" s="5"/>
      <c r="M77" s="27">
        <v>0</v>
      </c>
      <c r="N77" s="5"/>
      <c r="O77" s="27">
        <v>0</v>
      </c>
      <c r="P77" s="5"/>
      <c r="Q77" s="27">
        <v>0</v>
      </c>
      <c r="R77" s="5"/>
      <c r="S77" s="27">
        <v>0</v>
      </c>
      <c r="T77" s="5"/>
      <c r="U77" s="27">
        <f>ROUND(IF(MIN(E77,G77,I77,K77,M77,O77,Q77,S77)&lt;0, MIN(E77,G77,I77,K77,M77,O77,Q77,S77), SMALL(E77:T77,COUNTIF(E77:T77,0)+1)) * 공사설정!$C$24 / 100*AL77/ 100, 2)</f>
        <v>1073000</v>
      </c>
      <c r="V77" s="27">
        <f>ROUND(0 * 공사설정!$C$25 / 100*AM77/ 100,2)</f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f>ROUND(IF(MIN(W77:AD77)=AVERAGE(W77:AD77), 0, IF(MIN(W77:AD77)&lt;0, MIN(W77:AD77), SMALL(W77:AD77,COUNTIF(W77:AD77,0)+1))) * 공사설정!$C$26 / 100*AN77/ 100,2)</f>
        <v>0</v>
      </c>
      <c r="AF77" s="5" t="s">
        <v>180</v>
      </c>
      <c r="AG77" s="29"/>
      <c r="AH77" s="5" t="s">
        <v>823</v>
      </c>
      <c r="AI77" s="5" t="s">
        <v>823</v>
      </c>
      <c r="AK77" s="5" t="s">
        <v>823</v>
      </c>
      <c r="AL77" s="10">
        <v>100</v>
      </c>
      <c r="AM77" s="10">
        <v>100</v>
      </c>
      <c r="AN77" s="11">
        <v>100</v>
      </c>
    </row>
    <row r="78" spans="1:40" ht="30" customHeight="1" x14ac:dyDescent="0.3">
      <c r="A78" s="5" t="s">
        <v>403</v>
      </c>
      <c r="B78" s="5" t="s">
        <v>567</v>
      </c>
      <c r="C78" s="29" t="s">
        <v>823</v>
      </c>
      <c r="D78" s="5" t="s">
        <v>136</v>
      </c>
      <c r="E78" s="27">
        <v>0</v>
      </c>
      <c r="F78" s="5"/>
      <c r="G78" s="27">
        <v>0</v>
      </c>
      <c r="H78" s="5"/>
      <c r="I78" s="27">
        <v>0</v>
      </c>
      <c r="J78" s="5"/>
      <c r="K78" s="27">
        <v>0</v>
      </c>
      <c r="L78" s="5"/>
      <c r="M78" s="27">
        <v>0</v>
      </c>
      <c r="N78" s="5"/>
      <c r="O78" s="28">
        <v>133893378</v>
      </c>
      <c r="P78" s="5"/>
      <c r="Q78" s="27">
        <v>0</v>
      </c>
      <c r="R78" s="5"/>
      <c r="S78" s="27">
        <v>0</v>
      </c>
      <c r="T78" s="5"/>
      <c r="U78" s="27">
        <f>ROUND(IF(MIN(E78,G78,I78,K78,M78,O78,Q78,S78)&lt;0, MIN(E78,G78,I78,K78,M78,O78,Q78,S78), SMALL(E78:T78,COUNTIF(E78:T78,0)+1)) * 공사설정!$C$24 / 100*AL78/ 100, 2)</f>
        <v>133893378</v>
      </c>
      <c r="V78" s="27">
        <f>ROUND(0 * 공사설정!$C$25 / 100*AM78/ 100,2)</f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f>ROUND(IF(MIN(W78:AD78)=AVERAGE(W78:AD78), 0, IF(MIN(W78:AD78)&lt;0, MIN(W78:AD78), SMALL(W78:AD78,COUNTIF(W78:AD78,0)+1))) * 공사설정!$C$26 / 100*AN78/ 100,2)</f>
        <v>0</v>
      </c>
      <c r="AF78" s="5" t="s">
        <v>1228</v>
      </c>
      <c r="AG78" s="29" t="s">
        <v>1310</v>
      </c>
      <c r="AH78" s="5" t="s">
        <v>823</v>
      </c>
      <c r="AI78" s="5" t="s">
        <v>823</v>
      </c>
      <c r="AK78" s="5" t="s">
        <v>823</v>
      </c>
      <c r="AL78" s="10">
        <v>100</v>
      </c>
      <c r="AM78" s="10">
        <v>100</v>
      </c>
      <c r="AN78" s="11">
        <v>100</v>
      </c>
    </row>
    <row r="79" spans="1:40" ht="30" customHeight="1" x14ac:dyDescent="0.3">
      <c r="A79" s="5" t="s">
        <v>1251</v>
      </c>
      <c r="B79" s="5" t="s">
        <v>243</v>
      </c>
      <c r="C79" s="29" t="s">
        <v>823</v>
      </c>
      <c r="D79" s="5" t="s">
        <v>136</v>
      </c>
      <c r="E79" s="27">
        <v>0</v>
      </c>
      <c r="F79" s="5"/>
      <c r="G79" s="27">
        <v>0</v>
      </c>
      <c r="H79" s="5"/>
      <c r="I79" s="27">
        <v>0</v>
      </c>
      <c r="J79" s="5"/>
      <c r="K79" s="27">
        <v>0</v>
      </c>
      <c r="L79" s="5"/>
      <c r="M79" s="27">
        <v>0</v>
      </c>
      <c r="N79" s="5"/>
      <c r="O79" s="28">
        <v>3200000</v>
      </c>
      <c r="P79" s="5"/>
      <c r="Q79" s="27">
        <v>0</v>
      </c>
      <c r="R79" s="5"/>
      <c r="S79" s="27">
        <v>0</v>
      </c>
      <c r="T79" s="5"/>
      <c r="U79" s="27">
        <f>ROUND(IF(MIN(E79,G79,I79,K79,M79,O79,Q79,S79)&lt;0, MIN(E79,G79,I79,K79,M79,O79,Q79,S79), SMALL(E79:T79,COUNTIF(E79:T79,0)+1)) * 공사설정!$C$24 / 100*AL79/ 100, 2)</f>
        <v>3200000</v>
      </c>
      <c r="V79" s="27">
        <f>ROUND(0 * 공사설정!$C$25 / 100*AM79/ 100,2)</f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f>ROUND(IF(MIN(W79:AD79)=AVERAGE(W79:AD79), 0, IF(MIN(W79:AD79)&lt;0, MIN(W79:AD79), SMALL(W79:AD79,COUNTIF(W79:AD79,0)+1))) * 공사설정!$C$26 / 100*AN79/ 100,2)</f>
        <v>0</v>
      </c>
      <c r="AF79" s="5" t="s">
        <v>434</v>
      </c>
      <c r="AG79" s="29" t="s">
        <v>1310</v>
      </c>
      <c r="AH79" s="5" t="s">
        <v>823</v>
      </c>
      <c r="AI79" s="5" t="s">
        <v>823</v>
      </c>
      <c r="AK79" s="5" t="s">
        <v>823</v>
      </c>
      <c r="AL79" s="10">
        <v>100</v>
      </c>
      <c r="AM79" s="10">
        <v>100</v>
      </c>
      <c r="AN79" s="11">
        <v>100</v>
      </c>
    </row>
    <row r="80" spans="1:40" ht="30" customHeight="1" x14ac:dyDescent="0.3">
      <c r="A80" s="5" t="s">
        <v>262</v>
      </c>
      <c r="B80" s="5" t="s">
        <v>84</v>
      </c>
      <c r="C80" s="29" t="s">
        <v>823</v>
      </c>
      <c r="D80" s="5" t="s">
        <v>136</v>
      </c>
      <c r="E80" s="27">
        <v>0</v>
      </c>
      <c r="F80" s="5"/>
      <c r="G80" s="27">
        <v>0</v>
      </c>
      <c r="H80" s="5"/>
      <c r="I80" s="27">
        <v>0</v>
      </c>
      <c r="J80" s="5"/>
      <c r="K80" s="27">
        <v>0</v>
      </c>
      <c r="L80" s="5"/>
      <c r="M80" s="27">
        <v>0</v>
      </c>
      <c r="N80" s="5"/>
      <c r="O80" s="28">
        <v>-557839</v>
      </c>
      <c r="P80" s="5"/>
      <c r="Q80" s="27">
        <v>0</v>
      </c>
      <c r="R80" s="5"/>
      <c r="S80" s="27">
        <v>0</v>
      </c>
      <c r="T80" s="5"/>
      <c r="U80" s="27">
        <f>ROUND(IF(MIN(E80,G80,I80,K80,M80,O80,Q80,S80)&lt;0, MIN(E80,G80,I80,K80,M80,O80,Q80,S80), SMALL(E80:T80,COUNTIF(E80:T80,0)+1)) * 공사설정!$C$24 / 100*AL80/ 100, 2)</f>
        <v>-557839</v>
      </c>
      <c r="V80" s="27">
        <f>ROUND(2378381 * 공사설정!$C$25 / 100*AM80/ 100,2)</f>
        <v>2378381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10">
        <v>61505</v>
      </c>
      <c r="AC80" s="27">
        <v>0</v>
      </c>
      <c r="AD80" s="27">
        <v>0</v>
      </c>
      <c r="AE80" s="27">
        <f>ROUND(IF(MIN(W80:AD80)&lt;0, MIN(W80:AD80), SMALL(W80:AD80,COUNTIF(W80:AD80,0)+1)) * 공사설정!$C$26 / 100*AN80/ 100,2)</f>
        <v>61505</v>
      </c>
      <c r="AF80" s="5" t="s">
        <v>482</v>
      </c>
      <c r="AG80" s="29"/>
      <c r="AH80" s="5" t="s">
        <v>823</v>
      </c>
      <c r="AI80" s="5" t="s">
        <v>823</v>
      </c>
      <c r="AK80" s="5" t="s">
        <v>823</v>
      </c>
      <c r="AL80" s="10">
        <v>100</v>
      </c>
      <c r="AM80" s="10">
        <v>100</v>
      </c>
      <c r="AN80" s="11">
        <v>100</v>
      </c>
    </row>
    <row r="81" spans="1:40" ht="30" customHeight="1" x14ac:dyDescent="0.3">
      <c r="A81" s="5" t="s">
        <v>40</v>
      </c>
      <c r="B81" s="5" t="s">
        <v>1250</v>
      </c>
      <c r="C81" s="29" t="s">
        <v>269</v>
      </c>
      <c r="D81" s="5" t="s">
        <v>656</v>
      </c>
      <c r="E81" s="27">
        <v>0</v>
      </c>
      <c r="F81" s="5" t="s">
        <v>823</v>
      </c>
      <c r="G81" s="27">
        <v>0</v>
      </c>
      <c r="H81" s="5" t="s">
        <v>823</v>
      </c>
      <c r="I81" s="27">
        <v>0</v>
      </c>
      <c r="J81" s="5" t="s">
        <v>823</v>
      </c>
      <c r="K81" s="27">
        <v>0</v>
      </c>
      <c r="L81" s="5" t="s">
        <v>823</v>
      </c>
      <c r="M81" s="27">
        <v>0</v>
      </c>
      <c r="N81" s="5" t="s">
        <v>823</v>
      </c>
      <c r="O81" s="27">
        <v>0</v>
      </c>
      <c r="P81" s="5" t="s">
        <v>823</v>
      </c>
      <c r="Q81" s="27">
        <v>0</v>
      </c>
      <c r="R81" s="5" t="s">
        <v>823</v>
      </c>
      <c r="S81" s="27">
        <v>0</v>
      </c>
      <c r="T81" s="5" t="s">
        <v>823</v>
      </c>
      <c r="U81" s="27">
        <f t="shared" ref="U81:U104" si="0">0*AL81/ 100</f>
        <v>0</v>
      </c>
      <c r="V81" s="27">
        <f>ROUND(171037 * 공사설정!$C$25 / 100*AM81/ 100,2)</f>
        <v>171037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f>ROUND(IF(MIN(W81:AD81)=AVERAGE(W81:AD81), 0, IF(MIN(W81:AD81)&lt;0, MIN(W81:AD81), SMALL(W81:AD81,COUNTIF(W81:AD81,0)+1))) * 공사설정!$C$26 / 100*AN81/ 100,2)</f>
        <v>0</v>
      </c>
      <c r="AF81" s="5" t="s">
        <v>162</v>
      </c>
      <c r="AG81" s="29" t="s">
        <v>823</v>
      </c>
      <c r="AH81" s="5" t="s">
        <v>1297</v>
      </c>
      <c r="AI81" s="5" t="s">
        <v>823</v>
      </c>
      <c r="AK81" s="5" t="s">
        <v>823</v>
      </c>
      <c r="AL81" s="10">
        <v>100</v>
      </c>
      <c r="AM81" s="10">
        <v>100</v>
      </c>
      <c r="AN81" s="11">
        <v>100</v>
      </c>
    </row>
    <row r="82" spans="1:40" ht="30" customHeight="1" x14ac:dyDescent="0.3">
      <c r="A82" s="5" t="s">
        <v>1315</v>
      </c>
      <c r="B82" s="5" t="s">
        <v>526</v>
      </c>
      <c r="C82" s="29" t="s">
        <v>269</v>
      </c>
      <c r="D82" s="5" t="s">
        <v>656</v>
      </c>
      <c r="E82" s="27">
        <v>0</v>
      </c>
      <c r="F82" s="5" t="s">
        <v>823</v>
      </c>
      <c r="G82" s="27">
        <v>0</v>
      </c>
      <c r="H82" s="5" t="s">
        <v>823</v>
      </c>
      <c r="I82" s="27">
        <v>0</v>
      </c>
      <c r="J82" s="5" t="s">
        <v>823</v>
      </c>
      <c r="K82" s="27">
        <v>0</v>
      </c>
      <c r="L82" s="5" t="s">
        <v>823</v>
      </c>
      <c r="M82" s="27">
        <v>0</v>
      </c>
      <c r="N82" s="5" t="s">
        <v>823</v>
      </c>
      <c r="O82" s="27">
        <v>0</v>
      </c>
      <c r="P82" s="5" t="s">
        <v>823</v>
      </c>
      <c r="Q82" s="27">
        <v>0</v>
      </c>
      <c r="R82" s="5" t="s">
        <v>823</v>
      </c>
      <c r="S82" s="27">
        <v>0</v>
      </c>
      <c r="T82" s="5" t="s">
        <v>823</v>
      </c>
      <c r="U82" s="27">
        <f t="shared" si="0"/>
        <v>0</v>
      </c>
      <c r="V82" s="27">
        <f>ROUND(224490 * 공사설정!$C$25 / 100*AM82/ 100,2)</f>
        <v>224490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f>ROUND(IF(MIN(W82:AD82)=AVERAGE(W82:AD82), 0, IF(MIN(W82:AD82)&lt;0, MIN(W82:AD82), SMALL(W82:AD82,COUNTIF(W82:AD82,0)+1))) * 공사설정!$C$26 / 100*AN82/ 100,2)</f>
        <v>0</v>
      </c>
      <c r="AF82" s="5" t="s">
        <v>758</v>
      </c>
      <c r="AG82" s="29" t="s">
        <v>823</v>
      </c>
      <c r="AH82" s="5" t="s">
        <v>1297</v>
      </c>
      <c r="AI82" s="5" t="s">
        <v>823</v>
      </c>
      <c r="AK82" s="5" t="s">
        <v>823</v>
      </c>
      <c r="AL82" s="10">
        <v>100</v>
      </c>
      <c r="AM82" s="10">
        <v>100</v>
      </c>
      <c r="AN82" s="11">
        <v>100</v>
      </c>
    </row>
    <row r="83" spans="1:40" ht="30" customHeight="1" x14ac:dyDescent="0.3">
      <c r="A83" s="5" t="s">
        <v>687</v>
      </c>
      <c r="B83" s="5" t="s">
        <v>432</v>
      </c>
      <c r="C83" s="29" t="s">
        <v>269</v>
      </c>
      <c r="D83" s="5" t="s">
        <v>656</v>
      </c>
      <c r="E83" s="27">
        <v>0</v>
      </c>
      <c r="F83" s="5" t="s">
        <v>823</v>
      </c>
      <c r="G83" s="27">
        <v>0</v>
      </c>
      <c r="H83" s="5" t="s">
        <v>823</v>
      </c>
      <c r="I83" s="27">
        <v>0</v>
      </c>
      <c r="J83" s="5" t="s">
        <v>823</v>
      </c>
      <c r="K83" s="27">
        <v>0</v>
      </c>
      <c r="L83" s="5" t="s">
        <v>823</v>
      </c>
      <c r="M83" s="27">
        <v>0</v>
      </c>
      <c r="N83" s="5" t="s">
        <v>823</v>
      </c>
      <c r="O83" s="27">
        <v>0</v>
      </c>
      <c r="P83" s="5" t="s">
        <v>823</v>
      </c>
      <c r="Q83" s="27">
        <v>0</v>
      </c>
      <c r="R83" s="5" t="s">
        <v>823</v>
      </c>
      <c r="S83" s="27">
        <v>0</v>
      </c>
      <c r="T83" s="5" t="s">
        <v>823</v>
      </c>
      <c r="U83" s="27">
        <f t="shared" si="0"/>
        <v>0</v>
      </c>
      <c r="V83" s="27">
        <f>ROUND(279613 * 공사설정!$C$25 / 100*AM83/ 100,2)</f>
        <v>279613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f>ROUND(IF(MIN(W83:AD83)=AVERAGE(W83:AD83), 0, IF(MIN(W83:AD83)&lt;0, MIN(W83:AD83), SMALL(W83:AD83,COUNTIF(W83:AD83,0)+1))) * 공사설정!$C$26 / 100*AN83/ 100,2)</f>
        <v>0</v>
      </c>
      <c r="AF83" s="5" t="s">
        <v>1044</v>
      </c>
      <c r="AG83" s="29" t="s">
        <v>823</v>
      </c>
      <c r="AH83" s="5" t="s">
        <v>1297</v>
      </c>
      <c r="AI83" s="5" t="s">
        <v>823</v>
      </c>
      <c r="AK83" s="5" t="s">
        <v>823</v>
      </c>
      <c r="AL83" s="10">
        <v>100</v>
      </c>
      <c r="AM83" s="10">
        <v>100</v>
      </c>
      <c r="AN83" s="11">
        <v>100</v>
      </c>
    </row>
    <row r="84" spans="1:40" ht="30" customHeight="1" x14ac:dyDescent="0.3">
      <c r="A84" s="5" t="s">
        <v>1027</v>
      </c>
      <c r="B84" s="5" t="s">
        <v>323</v>
      </c>
      <c r="C84" s="29" t="s">
        <v>269</v>
      </c>
      <c r="D84" s="5" t="s">
        <v>656</v>
      </c>
      <c r="E84" s="27">
        <v>0</v>
      </c>
      <c r="F84" s="5" t="s">
        <v>823</v>
      </c>
      <c r="G84" s="27">
        <v>0</v>
      </c>
      <c r="H84" s="5" t="s">
        <v>823</v>
      </c>
      <c r="I84" s="27">
        <v>0</v>
      </c>
      <c r="J84" s="5" t="s">
        <v>823</v>
      </c>
      <c r="K84" s="27">
        <v>0</v>
      </c>
      <c r="L84" s="5" t="s">
        <v>823</v>
      </c>
      <c r="M84" s="27">
        <v>0</v>
      </c>
      <c r="N84" s="5" t="s">
        <v>823</v>
      </c>
      <c r="O84" s="27">
        <v>0</v>
      </c>
      <c r="P84" s="5" t="s">
        <v>823</v>
      </c>
      <c r="Q84" s="27">
        <v>0</v>
      </c>
      <c r="R84" s="5" t="s">
        <v>823</v>
      </c>
      <c r="S84" s="27">
        <v>0</v>
      </c>
      <c r="T84" s="5" t="s">
        <v>823</v>
      </c>
      <c r="U84" s="27">
        <f t="shared" si="0"/>
        <v>0</v>
      </c>
      <c r="V84" s="27">
        <f>ROUND(237686 * 공사설정!$C$25 / 100*AM84/ 100,2)</f>
        <v>237686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f>ROUND(IF(MIN(W84:AD84)=AVERAGE(W84:AD84), 0, IF(MIN(W84:AD84)&lt;0, MIN(W84:AD84), SMALL(W84:AD84,COUNTIF(W84:AD84,0)+1))) * 공사설정!$C$26 / 100*AN84/ 100,2)</f>
        <v>0</v>
      </c>
      <c r="AF84" s="5" t="s">
        <v>650</v>
      </c>
      <c r="AG84" s="29" t="s">
        <v>823</v>
      </c>
      <c r="AH84" s="5" t="s">
        <v>1297</v>
      </c>
      <c r="AI84" s="5" t="s">
        <v>823</v>
      </c>
      <c r="AK84" s="5" t="s">
        <v>823</v>
      </c>
      <c r="AL84" s="10">
        <v>100</v>
      </c>
      <c r="AM84" s="10">
        <v>100</v>
      </c>
      <c r="AN84" s="11">
        <v>100</v>
      </c>
    </row>
    <row r="85" spans="1:40" ht="30" customHeight="1" x14ac:dyDescent="0.3">
      <c r="A85" s="5" t="s">
        <v>829</v>
      </c>
      <c r="B85" s="5" t="s">
        <v>149</v>
      </c>
      <c r="C85" s="29" t="s">
        <v>269</v>
      </c>
      <c r="D85" s="5" t="s">
        <v>656</v>
      </c>
      <c r="E85" s="27">
        <v>0</v>
      </c>
      <c r="F85" s="5" t="s">
        <v>823</v>
      </c>
      <c r="G85" s="27">
        <v>0</v>
      </c>
      <c r="H85" s="5" t="s">
        <v>823</v>
      </c>
      <c r="I85" s="27">
        <v>0</v>
      </c>
      <c r="J85" s="5" t="s">
        <v>823</v>
      </c>
      <c r="K85" s="27">
        <v>0</v>
      </c>
      <c r="L85" s="5" t="s">
        <v>823</v>
      </c>
      <c r="M85" s="27">
        <v>0</v>
      </c>
      <c r="N85" s="5" t="s">
        <v>823</v>
      </c>
      <c r="O85" s="27">
        <v>0</v>
      </c>
      <c r="P85" s="5" t="s">
        <v>823</v>
      </c>
      <c r="Q85" s="27">
        <v>0</v>
      </c>
      <c r="R85" s="5" t="s">
        <v>823</v>
      </c>
      <c r="S85" s="27">
        <v>0</v>
      </c>
      <c r="T85" s="5" t="s">
        <v>823</v>
      </c>
      <c r="U85" s="27">
        <f t="shared" si="0"/>
        <v>0</v>
      </c>
      <c r="V85" s="27">
        <f>ROUND(251511 * 공사설정!$C$25 / 100*AM85/ 100,2)</f>
        <v>251511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f>ROUND(IF(MIN(W85:AD85)=AVERAGE(W85:AD85), 0, IF(MIN(W85:AD85)&lt;0, MIN(W85:AD85), SMALL(W85:AD85,COUNTIF(W85:AD85,0)+1))) * 공사설정!$C$26 / 100*AN85/ 100,2)</f>
        <v>0</v>
      </c>
      <c r="AF85" s="5" t="s">
        <v>1128</v>
      </c>
      <c r="AG85" s="29" t="s">
        <v>823</v>
      </c>
      <c r="AH85" s="5" t="s">
        <v>1297</v>
      </c>
      <c r="AI85" s="5" t="s">
        <v>823</v>
      </c>
      <c r="AK85" s="5" t="s">
        <v>823</v>
      </c>
      <c r="AL85" s="10">
        <v>100</v>
      </c>
      <c r="AM85" s="10">
        <v>100</v>
      </c>
      <c r="AN85" s="11">
        <v>100</v>
      </c>
    </row>
    <row r="86" spans="1:40" ht="30" customHeight="1" x14ac:dyDescent="0.3">
      <c r="A86" s="5" t="s">
        <v>421</v>
      </c>
      <c r="B86" s="5" t="s">
        <v>840</v>
      </c>
      <c r="C86" s="29" t="s">
        <v>269</v>
      </c>
      <c r="D86" s="5" t="s">
        <v>656</v>
      </c>
      <c r="E86" s="27">
        <v>0</v>
      </c>
      <c r="F86" s="5" t="s">
        <v>823</v>
      </c>
      <c r="G86" s="27">
        <v>0</v>
      </c>
      <c r="H86" s="5" t="s">
        <v>823</v>
      </c>
      <c r="I86" s="27">
        <v>0</v>
      </c>
      <c r="J86" s="5" t="s">
        <v>823</v>
      </c>
      <c r="K86" s="27">
        <v>0</v>
      </c>
      <c r="L86" s="5" t="s">
        <v>823</v>
      </c>
      <c r="M86" s="27">
        <v>0</v>
      </c>
      <c r="N86" s="5" t="s">
        <v>823</v>
      </c>
      <c r="O86" s="27">
        <v>0</v>
      </c>
      <c r="P86" s="5" t="s">
        <v>823</v>
      </c>
      <c r="Q86" s="27">
        <v>0</v>
      </c>
      <c r="R86" s="5" t="s">
        <v>823</v>
      </c>
      <c r="S86" s="27">
        <v>0</v>
      </c>
      <c r="T86" s="5" t="s">
        <v>823</v>
      </c>
      <c r="U86" s="27">
        <f t="shared" si="0"/>
        <v>0</v>
      </c>
      <c r="V86" s="27">
        <f>ROUND(220354 * 공사설정!$C$25 / 100*AM86/ 100,2)</f>
        <v>220354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f>ROUND(IF(MIN(W86:AD86)=AVERAGE(W86:AD86), 0, IF(MIN(W86:AD86)&lt;0, MIN(W86:AD86), SMALL(W86:AD86,COUNTIF(W86:AD86,0)+1))) * 공사설정!$C$26 / 100*AN86/ 100,2)</f>
        <v>0</v>
      </c>
      <c r="AF86" s="5" t="s">
        <v>66</v>
      </c>
      <c r="AG86" s="29" t="s">
        <v>823</v>
      </c>
      <c r="AH86" s="5" t="s">
        <v>1297</v>
      </c>
      <c r="AI86" s="5" t="s">
        <v>823</v>
      </c>
      <c r="AK86" s="5" t="s">
        <v>823</v>
      </c>
      <c r="AL86" s="10">
        <v>100</v>
      </c>
      <c r="AM86" s="10">
        <v>100</v>
      </c>
      <c r="AN86" s="11">
        <v>100</v>
      </c>
    </row>
    <row r="87" spans="1:40" ht="30" customHeight="1" x14ac:dyDescent="0.3">
      <c r="A87" s="5" t="s">
        <v>76</v>
      </c>
      <c r="B87" s="5" t="s">
        <v>842</v>
      </c>
      <c r="C87" s="29" t="s">
        <v>269</v>
      </c>
      <c r="D87" s="5" t="s">
        <v>656</v>
      </c>
      <c r="E87" s="27">
        <v>0</v>
      </c>
      <c r="F87" s="5" t="s">
        <v>823</v>
      </c>
      <c r="G87" s="27">
        <v>0</v>
      </c>
      <c r="H87" s="5" t="s">
        <v>823</v>
      </c>
      <c r="I87" s="27">
        <v>0</v>
      </c>
      <c r="J87" s="5" t="s">
        <v>823</v>
      </c>
      <c r="K87" s="27">
        <v>0</v>
      </c>
      <c r="L87" s="5" t="s">
        <v>823</v>
      </c>
      <c r="M87" s="27">
        <v>0</v>
      </c>
      <c r="N87" s="5" t="s">
        <v>823</v>
      </c>
      <c r="O87" s="27">
        <v>0</v>
      </c>
      <c r="P87" s="5" t="s">
        <v>823</v>
      </c>
      <c r="Q87" s="27">
        <v>0</v>
      </c>
      <c r="R87" s="5" t="s">
        <v>823</v>
      </c>
      <c r="S87" s="27">
        <v>0</v>
      </c>
      <c r="T87" s="5" t="s">
        <v>823</v>
      </c>
      <c r="U87" s="27">
        <f t="shared" si="0"/>
        <v>0</v>
      </c>
      <c r="V87" s="27">
        <f>ROUND(283068 * 공사설정!$C$25 / 100*AM87/ 100,2)</f>
        <v>283068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f>ROUND(IF(MIN(W87:AD87)=AVERAGE(W87:AD87), 0, IF(MIN(W87:AD87)&lt;0, MIN(W87:AD87), SMALL(W87:AD87,COUNTIF(W87:AD87,0)+1))) * 공사설정!$C$26 / 100*AN87/ 100,2)</f>
        <v>0</v>
      </c>
      <c r="AF87" s="5" t="s">
        <v>726</v>
      </c>
      <c r="AG87" s="29" t="s">
        <v>823</v>
      </c>
      <c r="AH87" s="5" t="s">
        <v>1297</v>
      </c>
      <c r="AI87" s="5" t="s">
        <v>823</v>
      </c>
      <c r="AK87" s="5" t="s">
        <v>823</v>
      </c>
      <c r="AL87" s="10">
        <v>100</v>
      </c>
      <c r="AM87" s="10">
        <v>100</v>
      </c>
      <c r="AN87" s="11">
        <v>100</v>
      </c>
    </row>
    <row r="88" spans="1:40" ht="30" customHeight="1" x14ac:dyDescent="0.3">
      <c r="A88" s="5" t="s">
        <v>174</v>
      </c>
      <c r="B88" s="5" t="s">
        <v>317</v>
      </c>
      <c r="C88" s="29" t="s">
        <v>269</v>
      </c>
      <c r="D88" s="5" t="s">
        <v>656</v>
      </c>
      <c r="E88" s="27">
        <v>0</v>
      </c>
      <c r="F88" s="5" t="s">
        <v>823</v>
      </c>
      <c r="G88" s="27">
        <v>0</v>
      </c>
      <c r="H88" s="5" t="s">
        <v>823</v>
      </c>
      <c r="I88" s="27">
        <v>0</v>
      </c>
      <c r="J88" s="5" t="s">
        <v>823</v>
      </c>
      <c r="K88" s="27">
        <v>0</v>
      </c>
      <c r="L88" s="5" t="s">
        <v>823</v>
      </c>
      <c r="M88" s="27">
        <v>0</v>
      </c>
      <c r="N88" s="5" t="s">
        <v>823</v>
      </c>
      <c r="O88" s="27">
        <v>0</v>
      </c>
      <c r="P88" s="5" t="s">
        <v>823</v>
      </c>
      <c r="Q88" s="27">
        <v>0</v>
      </c>
      <c r="R88" s="5" t="s">
        <v>823</v>
      </c>
      <c r="S88" s="27">
        <v>0</v>
      </c>
      <c r="T88" s="5" t="s">
        <v>823</v>
      </c>
      <c r="U88" s="27">
        <f t="shared" si="0"/>
        <v>0</v>
      </c>
      <c r="V88" s="27">
        <f>ROUND(250287 * 공사설정!$C$25 / 100*AM88/ 100,2)</f>
        <v>250287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f>ROUND(IF(MIN(W88:AD88)=AVERAGE(W88:AD88), 0, IF(MIN(W88:AD88)&lt;0, MIN(W88:AD88), SMALL(W88:AD88,COUNTIF(W88:AD88,0)+1))) * 공사설정!$C$26 / 100*AN88/ 100,2)</f>
        <v>0</v>
      </c>
      <c r="AF88" s="5" t="s">
        <v>140</v>
      </c>
      <c r="AG88" s="29" t="s">
        <v>823</v>
      </c>
      <c r="AH88" s="5" t="s">
        <v>1297</v>
      </c>
      <c r="AI88" s="5" t="s">
        <v>823</v>
      </c>
      <c r="AK88" s="5" t="s">
        <v>823</v>
      </c>
      <c r="AL88" s="10">
        <v>100</v>
      </c>
      <c r="AM88" s="10">
        <v>100</v>
      </c>
      <c r="AN88" s="11">
        <v>100</v>
      </c>
    </row>
    <row r="89" spans="1:40" ht="30" customHeight="1" x14ac:dyDescent="0.3">
      <c r="A89" s="5" t="s">
        <v>244</v>
      </c>
      <c r="B89" s="5" t="s">
        <v>761</v>
      </c>
      <c r="C89" s="29" t="s">
        <v>269</v>
      </c>
      <c r="D89" s="5" t="s">
        <v>656</v>
      </c>
      <c r="E89" s="27">
        <v>0</v>
      </c>
      <c r="F89" s="5" t="s">
        <v>823</v>
      </c>
      <c r="G89" s="27">
        <v>0</v>
      </c>
      <c r="H89" s="5" t="s">
        <v>823</v>
      </c>
      <c r="I89" s="27">
        <v>0</v>
      </c>
      <c r="J89" s="5" t="s">
        <v>823</v>
      </c>
      <c r="K89" s="27">
        <v>0</v>
      </c>
      <c r="L89" s="5" t="s">
        <v>823</v>
      </c>
      <c r="M89" s="27">
        <v>0</v>
      </c>
      <c r="N89" s="5" t="s">
        <v>823</v>
      </c>
      <c r="O89" s="27">
        <v>0</v>
      </c>
      <c r="P89" s="5" t="s">
        <v>823</v>
      </c>
      <c r="Q89" s="27">
        <v>0</v>
      </c>
      <c r="R89" s="5" t="s">
        <v>823</v>
      </c>
      <c r="S89" s="27">
        <v>0</v>
      </c>
      <c r="T89" s="5" t="s">
        <v>823</v>
      </c>
      <c r="U89" s="27">
        <f t="shared" si="0"/>
        <v>0</v>
      </c>
      <c r="V89" s="27">
        <f>ROUND(278998 * 공사설정!$C$25 / 100*AM89/ 100,2)</f>
        <v>278998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f>ROUND(IF(MIN(W89:AD89)=AVERAGE(W89:AD89), 0, IF(MIN(W89:AD89)&lt;0, MIN(W89:AD89), SMALL(W89:AD89,COUNTIF(W89:AD89,0)+1))) * 공사설정!$C$26 / 100*AN89/ 100,2)</f>
        <v>0</v>
      </c>
      <c r="AF89" s="5" t="s">
        <v>912</v>
      </c>
      <c r="AG89" s="29" t="s">
        <v>823</v>
      </c>
      <c r="AH89" s="5" t="s">
        <v>1297</v>
      </c>
      <c r="AI89" s="5" t="s">
        <v>823</v>
      </c>
      <c r="AK89" s="5" t="s">
        <v>823</v>
      </c>
      <c r="AL89" s="10">
        <v>100</v>
      </c>
      <c r="AM89" s="10">
        <v>100</v>
      </c>
      <c r="AN89" s="11">
        <v>100</v>
      </c>
    </row>
    <row r="90" spans="1:40" ht="30" customHeight="1" x14ac:dyDescent="0.3">
      <c r="A90" s="5" t="s">
        <v>337</v>
      </c>
      <c r="B90" s="5" t="s">
        <v>556</v>
      </c>
      <c r="C90" s="29" t="s">
        <v>269</v>
      </c>
      <c r="D90" s="5" t="s">
        <v>656</v>
      </c>
      <c r="E90" s="27">
        <v>0</v>
      </c>
      <c r="F90" s="5" t="s">
        <v>823</v>
      </c>
      <c r="G90" s="27">
        <v>0</v>
      </c>
      <c r="H90" s="5" t="s">
        <v>823</v>
      </c>
      <c r="I90" s="27">
        <v>0</v>
      </c>
      <c r="J90" s="5" t="s">
        <v>823</v>
      </c>
      <c r="K90" s="27">
        <v>0</v>
      </c>
      <c r="L90" s="5" t="s">
        <v>823</v>
      </c>
      <c r="M90" s="27">
        <v>0</v>
      </c>
      <c r="N90" s="5" t="s">
        <v>823</v>
      </c>
      <c r="O90" s="27">
        <v>0</v>
      </c>
      <c r="P90" s="5" t="s">
        <v>823</v>
      </c>
      <c r="Q90" s="27">
        <v>0</v>
      </c>
      <c r="R90" s="5" t="s">
        <v>823</v>
      </c>
      <c r="S90" s="27">
        <v>0</v>
      </c>
      <c r="T90" s="5" t="s">
        <v>823</v>
      </c>
      <c r="U90" s="27">
        <f t="shared" si="0"/>
        <v>0</v>
      </c>
      <c r="V90" s="27">
        <f>ROUND(258362 * 공사설정!$C$25 / 100*AM90/ 100,2)</f>
        <v>258362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f>ROUND(IF(MIN(W90:AD90)=AVERAGE(W90:AD90), 0, IF(MIN(W90:AD90)&lt;0, MIN(W90:AD90), SMALL(W90:AD90,COUNTIF(W90:AD90,0)+1))) * 공사설정!$C$26 / 100*AN90/ 100,2)</f>
        <v>0</v>
      </c>
      <c r="AF90" s="5" t="s">
        <v>355</v>
      </c>
      <c r="AG90" s="29" t="s">
        <v>823</v>
      </c>
      <c r="AH90" s="5" t="s">
        <v>1297</v>
      </c>
      <c r="AI90" s="5" t="s">
        <v>823</v>
      </c>
      <c r="AK90" s="5" t="s">
        <v>823</v>
      </c>
      <c r="AL90" s="10">
        <v>100</v>
      </c>
      <c r="AM90" s="10">
        <v>100</v>
      </c>
      <c r="AN90" s="11">
        <v>100</v>
      </c>
    </row>
    <row r="91" spans="1:40" ht="30" customHeight="1" x14ac:dyDescent="0.3">
      <c r="A91" s="5" t="s">
        <v>873</v>
      </c>
      <c r="B91" s="5" t="s">
        <v>465</v>
      </c>
      <c r="C91" s="29" t="s">
        <v>269</v>
      </c>
      <c r="D91" s="5" t="s">
        <v>656</v>
      </c>
      <c r="E91" s="27">
        <v>0</v>
      </c>
      <c r="F91" s="5" t="s">
        <v>823</v>
      </c>
      <c r="G91" s="27">
        <v>0</v>
      </c>
      <c r="H91" s="5" t="s">
        <v>823</v>
      </c>
      <c r="I91" s="27">
        <v>0</v>
      </c>
      <c r="J91" s="5" t="s">
        <v>823</v>
      </c>
      <c r="K91" s="27">
        <v>0</v>
      </c>
      <c r="L91" s="5" t="s">
        <v>823</v>
      </c>
      <c r="M91" s="27">
        <v>0</v>
      </c>
      <c r="N91" s="5" t="s">
        <v>823</v>
      </c>
      <c r="O91" s="27">
        <v>0</v>
      </c>
      <c r="P91" s="5" t="s">
        <v>823</v>
      </c>
      <c r="Q91" s="27">
        <v>0</v>
      </c>
      <c r="R91" s="5" t="s">
        <v>823</v>
      </c>
      <c r="S91" s="27">
        <v>0</v>
      </c>
      <c r="T91" s="5" t="s">
        <v>823</v>
      </c>
      <c r="U91" s="27">
        <f t="shared" si="0"/>
        <v>0</v>
      </c>
      <c r="V91" s="27">
        <f>ROUND(255231 * 공사설정!$C$25 / 100*AM91/ 100,2)</f>
        <v>255231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f>ROUND(IF(MIN(W91:AD91)=AVERAGE(W91:AD91), 0, IF(MIN(W91:AD91)&lt;0, MIN(W91:AD91), SMALL(W91:AD91,COUNTIF(W91:AD91,0)+1))) * 공사설정!$C$26 / 100*AN91/ 100,2)</f>
        <v>0</v>
      </c>
      <c r="AF91" s="5" t="s">
        <v>988</v>
      </c>
      <c r="AG91" s="29" t="s">
        <v>823</v>
      </c>
      <c r="AH91" s="5" t="s">
        <v>1297</v>
      </c>
      <c r="AI91" s="5" t="s">
        <v>823</v>
      </c>
      <c r="AK91" s="5" t="s">
        <v>823</v>
      </c>
      <c r="AL91" s="10">
        <v>100</v>
      </c>
      <c r="AM91" s="10">
        <v>100</v>
      </c>
      <c r="AN91" s="11">
        <v>100</v>
      </c>
    </row>
    <row r="92" spans="1:40" ht="30" customHeight="1" x14ac:dyDescent="0.3">
      <c r="A92" s="5" t="s">
        <v>309</v>
      </c>
      <c r="B92" s="5" t="s">
        <v>1278</v>
      </c>
      <c r="C92" s="29" t="s">
        <v>269</v>
      </c>
      <c r="D92" s="5" t="s">
        <v>656</v>
      </c>
      <c r="E92" s="27">
        <v>0</v>
      </c>
      <c r="F92" s="5" t="s">
        <v>823</v>
      </c>
      <c r="G92" s="27">
        <v>0</v>
      </c>
      <c r="H92" s="5" t="s">
        <v>823</v>
      </c>
      <c r="I92" s="27">
        <v>0</v>
      </c>
      <c r="J92" s="5" t="s">
        <v>823</v>
      </c>
      <c r="K92" s="27">
        <v>0</v>
      </c>
      <c r="L92" s="5" t="s">
        <v>823</v>
      </c>
      <c r="M92" s="27">
        <v>0</v>
      </c>
      <c r="N92" s="5" t="s">
        <v>823</v>
      </c>
      <c r="O92" s="27">
        <v>0</v>
      </c>
      <c r="P92" s="5" t="s">
        <v>823</v>
      </c>
      <c r="Q92" s="27">
        <v>0</v>
      </c>
      <c r="R92" s="5" t="s">
        <v>823</v>
      </c>
      <c r="S92" s="27">
        <v>0</v>
      </c>
      <c r="T92" s="5" t="s">
        <v>823</v>
      </c>
      <c r="U92" s="27">
        <f t="shared" si="0"/>
        <v>0</v>
      </c>
      <c r="V92" s="27">
        <f>ROUND(279824 * 공사설정!$C$25 / 100*AM92/ 100,2)</f>
        <v>279824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f>ROUND(IF(MIN(W92:AD92)=AVERAGE(W92:AD92), 0, IF(MIN(W92:AD92)&lt;0, MIN(W92:AD92), SMALL(W92:AD92,COUNTIF(W92:AD92,0)+1))) * 공사설정!$C$26 / 100*AN92/ 100,2)</f>
        <v>0</v>
      </c>
      <c r="AF92" s="5" t="s">
        <v>1240</v>
      </c>
      <c r="AG92" s="29" t="s">
        <v>823</v>
      </c>
      <c r="AH92" s="5" t="s">
        <v>1297</v>
      </c>
      <c r="AI92" s="5" t="s">
        <v>823</v>
      </c>
      <c r="AK92" s="5" t="s">
        <v>823</v>
      </c>
      <c r="AL92" s="10">
        <v>100</v>
      </c>
      <c r="AM92" s="10">
        <v>100</v>
      </c>
      <c r="AN92" s="11">
        <v>100</v>
      </c>
    </row>
    <row r="93" spans="1:40" ht="30" customHeight="1" x14ac:dyDescent="0.3">
      <c r="A93" s="5" t="s">
        <v>118</v>
      </c>
      <c r="B93" s="5" t="s">
        <v>671</v>
      </c>
      <c r="C93" s="29" t="s">
        <v>269</v>
      </c>
      <c r="D93" s="5" t="s">
        <v>656</v>
      </c>
      <c r="E93" s="27">
        <v>0</v>
      </c>
      <c r="F93" s="5" t="s">
        <v>823</v>
      </c>
      <c r="G93" s="27">
        <v>0</v>
      </c>
      <c r="H93" s="5" t="s">
        <v>823</v>
      </c>
      <c r="I93" s="27">
        <v>0</v>
      </c>
      <c r="J93" s="5" t="s">
        <v>823</v>
      </c>
      <c r="K93" s="27">
        <v>0</v>
      </c>
      <c r="L93" s="5" t="s">
        <v>823</v>
      </c>
      <c r="M93" s="27">
        <v>0</v>
      </c>
      <c r="N93" s="5" t="s">
        <v>823</v>
      </c>
      <c r="O93" s="27">
        <v>0</v>
      </c>
      <c r="P93" s="5" t="s">
        <v>823</v>
      </c>
      <c r="Q93" s="27">
        <v>0</v>
      </c>
      <c r="R93" s="5" t="s">
        <v>823</v>
      </c>
      <c r="S93" s="27">
        <v>0</v>
      </c>
      <c r="T93" s="5" t="s">
        <v>823</v>
      </c>
      <c r="U93" s="27">
        <f t="shared" si="0"/>
        <v>0</v>
      </c>
      <c r="V93" s="27">
        <f>ROUND(240685 * 공사설정!$C$25 / 100*AM93/ 100,2)</f>
        <v>240685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f>ROUND(IF(MIN(W93:AD93)=AVERAGE(W93:AD93), 0, IF(MIN(W93:AD93)&lt;0, MIN(W93:AD93), SMALL(W93:AD93,COUNTIF(W93:AD93,0)+1))) * 공사설정!$C$26 / 100*AN93/ 100,2)</f>
        <v>0</v>
      </c>
      <c r="AF93" s="5" t="s">
        <v>557</v>
      </c>
      <c r="AG93" s="29" t="s">
        <v>823</v>
      </c>
      <c r="AH93" s="5" t="s">
        <v>1297</v>
      </c>
      <c r="AI93" s="5" t="s">
        <v>823</v>
      </c>
      <c r="AK93" s="5" t="s">
        <v>823</v>
      </c>
      <c r="AL93" s="10">
        <v>100</v>
      </c>
      <c r="AM93" s="10">
        <v>100</v>
      </c>
      <c r="AN93" s="11">
        <v>100</v>
      </c>
    </row>
    <row r="94" spans="1:40" ht="30" customHeight="1" x14ac:dyDescent="0.3">
      <c r="A94" s="5" t="s">
        <v>1180</v>
      </c>
      <c r="B94" s="5" t="s">
        <v>43</v>
      </c>
      <c r="C94" s="29" t="s">
        <v>770</v>
      </c>
      <c r="D94" s="5" t="s">
        <v>1001</v>
      </c>
      <c r="E94" s="27">
        <v>0</v>
      </c>
      <c r="F94" s="5" t="s">
        <v>823</v>
      </c>
      <c r="G94" s="27">
        <v>0</v>
      </c>
      <c r="H94" s="5" t="s">
        <v>823</v>
      </c>
      <c r="I94" s="27">
        <v>0</v>
      </c>
      <c r="J94" s="5" t="s">
        <v>823</v>
      </c>
      <c r="K94" s="27">
        <v>0</v>
      </c>
      <c r="L94" s="5" t="s">
        <v>823</v>
      </c>
      <c r="M94" s="27">
        <v>0</v>
      </c>
      <c r="N94" s="5" t="s">
        <v>823</v>
      </c>
      <c r="O94" s="27">
        <v>0</v>
      </c>
      <c r="P94" s="5" t="s">
        <v>823</v>
      </c>
      <c r="Q94" s="27">
        <v>0</v>
      </c>
      <c r="R94" s="5" t="s">
        <v>823</v>
      </c>
      <c r="S94" s="27">
        <v>0</v>
      </c>
      <c r="T94" s="5" t="s">
        <v>823</v>
      </c>
      <c r="U94" s="27">
        <f t="shared" si="0"/>
        <v>0</v>
      </c>
      <c r="V94" s="27">
        <f>ROUND(0 * 공사설정!$C$25 / 100*AM94/ 100,2)</f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10">
        <v>64267</v>
      </c>
      <c r="AC94" s="27">
        <v>0</v>
      </c>
      <c r="AD94" s="27">
        <v>0</v>
      </c>
      <c r="AE94" s="27">
        <f>ROUND(IF(MIN(W94:AD94)&lt;0, MIN(W94:AD94), SMALL(W94:AD94,COUNTIF(W94:AD94,0)+1)) * 공사설정!$C$26 / 100*AN94/ 100,2)</f>
        <v>64267</v>
      </c>
      <c r="AF94" s="5" t="s">
        <v>518</v>
      </c>
      <c r="AG94" s="29" t="s">
        <v>288</v>
      </c>
      <c r="AH94" s="5" t="s">
        <v>1219</v>
      </c>
      <c r="AI94" s="5" t="s">
        <v>823</v>
      </c>
      <c r="AK94" s="5" t="s">
        <v>823</v>
      </c>
      <c r="AL94" s="10">
        <v>100</v>
      </c>
      <c r="AM94" s="10">
        <v>100</v>
      </c>
      <c r="AN94" s="11">
        <v>100</v>
      </c>
    </row>
    <row r="95" spans="1:40" ht="30" customHeight="1" x14ac:dyDescent="0.3">
      <c r="A95" s="5" t="s">
        <v>963</v>
      </c>
      <c r="B95" s="5" t="s">
        <v>1216</v>
      </c>
      <c r="C95" s="29" t="s">
        <v>1070</v>
      </c>
      <c r="D95" s="5" t="s">
        <v>1001</v>
      </c>
      <c r="E95" s="27">
        <v>0</v>
      </c>
      <c r="F95" s="5" t="s">
        <v>823</v>
      </c>
      <c r="G95" s="27">
        <v>0</v>
      </c>
      <c r="H95" s="5" t="s">
        <v>823</v>
      </c>
      <c r="I95" s="27">
        <v>0</v>
      </c>
      <c r="J95" s="5" t="s">
        <v>823</v>
      </c>
      <c r="K95" s="27">
        <v>0</v>
      </c>
      <c r="L95" s="5" t="s">
        <v>823</v>
      </c>
      <c r="M95" s="27">
        <v>0</v>
      </c>
      <c r="N95" s="5" t="s">
        <v>823</v>
      </c>
      <c r="O95" s="27">
        <v>0</v>
      </c>
      <c r="P95" s="5" t="s">
        <v>823</v>
      </c>
      <c r="Q95" s="27">
        <v>0</v>
      </c>
      <c r="R95" s="5" t="s">
        <v>823</v>
      </c>
      <c r="S95" s="27">
        <v>0</v>
      </c>
      <c r="T95" s="5" t="s">
        <v>823</v>
      </c>
      <c r="U95" s="27">
        <f t="shared" si="0"/>
        <v>0</v>
      </c>
      <c r="V95" s="27">
        <f>ROUND(0 * 공사설정!$C$25 / 100*AM95/ 100,2)</f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10">
        <v>134000</v>
      </c>
      <c r="AC95" s="27">
        <v>0</v>
      </c>
      <c r="AD95" s="27">
        <v>0</v>
      </c>
      <c r="AE95" s="27">
        <f>ROUND(IF(MIN(W95:AD95)&lt;0, MIN(W95:AD95), SMALL(W95:AD95,COUNTIF(W95:AD95,0)+1)) * 공사설정!$C$26 / 100*AN95/ 100,2)</f>
        <v>134000</v>
      </c>
      <c r="AF95" s="5" t="s">
        <v>1002</v>
      </c>
      <c r="AG95" s="29" t="s">
        <v>288</v>
      </c>
      <c r="AH95" s="5" t="s">
        <v>1219</v>
      </c>
      <c r="AI95" s="5" t="s">
        <v>823</v>
      </c>
      <c r="AK95" s="5" t="s">
        <v>823</v>
      </c>
      <c r="AL95" s="10">
        <v>100</v>
      </c>
      <c r="AM95" s="10">
        <v>100</v>
      </c>
      <c r="AN95" s="11">
        <v>100</v>
      </c>
    </row>
    <row r="96" spans="1:40" ht="30" customHeight="1" x14ac:dyDescent="0.3">
      <c r="A96" s="5" t="s">
        <v>594</v>
      </c>
      <c r="B96" s="5" t="s">
        <v>1216</v>
      </c>
      <c r="C96" s="29" t="s">
        <v>199</v>
      </c>
      <c r="D96" s="5" t="s">
        <v>1001</v>
      </c>
      <c r="E96" s="27">
        <v>0</v>
      </c>
      <c r="F96" s="5" t="s">
        <v>823</v>
      </c>
      <c r="G96" s="27">
        <v>0</v>
      </c>
      <c r="H96" s="5" t="s">
        <v>823</v>
      </c>
      <c r="I96" s="27">
        <v>0</v>
      </c>
      <c r="J96" s="5" t="s">
        <v>823</v>
      </c>
      <c r="K96" s="27">
        <v>0</v>
      </c>
      <c r="L96" s="5" t="s">
        <v>823</v>
      </c>
      <c r="M96" s="27">
        <v>0</v>
      </c>
      <c r="N96" s="5" t="s">
        <v>823</v>
      </c>
      <c r="O96" s="27">
        <v>0</v>
      </c>
      <c r="P96" s="5" t="s">
        <v>823</v>
      </c>
      <c r="Q96" s="27">
        <v>0</v>
      </c>
      <c r="R96" s="5" t="s">
        <v>823</v>
      </c>
      <c r="S96" s="27">
        <v>0</v>
      </c>
      <c r="T96" s="5" t="s">
        <v>823</v>
      </c>
      <c r="U96" s="27">
        <f t="shared" si="0"/>
        <v>0</v>
      </c>
      <c r="V96" s="27">
        <f>ROUND(0 * 공사설정!$C$25 / 100*AM96/ 100,2)</f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10">
        <v>229276</v>
      </c>
      <c r="AC96" s="27">
        <v>0</v>
      </c>
      <c r="AD96" s="27">
        <v>0</v>
      </c>
      <c r="AE96" s="27">
        <f>ROUND(IF(MIN(W96:AD96)&lt;0, MIN(W96:AD96), SMALL(W96:AD96,COUNTIF(W96:AD96,0)+1)) * 공사설정!$C$26 / 100*AN96/ 100,2)</f>
        <v>229276</v>
      </c>
      <c r="AF96" s="5" t="s">
        <v>908</v>
      </c>
      <c r="AG96" s="29" t="s">
        <v>288</v>
      </c>
      <c r="AH96" s="5" t="s">
        <v>1219</v>
      </c>
      <c r="AI96" s="5" t="s">
        <v>823</v>
      </c>
      <c r="AK96" s="5" t="s">
        <v>823</v>
      </c>
      <c r="AL96" s="10">
        <v>100</v>
      </c>
      <c r="AM96" s="10">
        <v>100</v>
      </c>
      <c r="AN96" s="11">
        <v>100</v>
      </c>
    </row>
    <row r="97" spans="1:40" ht="30" customHeight="1" x14ac:dyDescent="0.3">
      <c r="A97" s="5" t="s">
        <v>1202</v>
      </c>
      <c r="B97" s="5" t="s">
        <v>1216</v>
      </c>
      <c r="C97" s="29" t="s">
        <v>224</v>
      </c>
      <c r="D97" s="5" t="s">
        <v>1001</v>
      </c>
      <c r="E97" s="27">
        <v>0</v>
      </c>
      <c r="F97" s="5" t="s">
        <v>823</v>
      </c>
      <c r="G97" s="27">
        <v>0</v>
      </c>
      <c r="H97" s="5" t="s">
        <v>823</v>
      </c>
      <c r="I97" s="27">
        <v>0</v>
      </c>
      <c r="J97" s="5" t="s">
        <v>823</v>
      </c>
      <c r="K97" s="27">
        <v>0</v>
      </c>
      <c r="L97" s="5" t="s">
        <v>823</v>
      </c>
      <c r="M97" s="27">
        <v>0</v>
      </c>
      <c r="N97" s="5" t="s">
        <v>823</v>
      </c>
      <c r="O97" s="27">
        <v>0</v>
      </c>
      <c r="P97" s="5" t="s">
        <v>823</v>
      </c>
      <c r="Q97" s="27">
        <v>0</v>
      </c>
      <c r="R97" s="5" t="s">
        <v>823</v>
      </c>
      <c r="S97" s="27">
        <v>0</v>
      </c>
      <c r="T97" s="5" t="s">
        <v>823</v>
      </c>
      <c r="U97" s="27">
        <f t="shared" si="0"/>
        <v>0</v>
      </c>
      <c r="V97" s="27">
        <f>ROUND(0 * 공사설정!$C$25 / 100*AM97/ 100,2)</f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10">
        <v>511858</v>
      </c>
      <c r="AC97" s="27">
        <v>0</v>
      </c>
      <c r="AD97" s="27">
        <v>0</v>
      </c>
      <c r="AE97" s="27">
        <f>ROUND(IF(MIN(W97:AD97)&lt;0, MIN(W97:AD97), SMALL(W97:AD97,COUNTIF(W97:AD97,0)+1)) * 공사설정!$C$26 / 100*AN97/ 100,2)</f>
        <v>511858</v>
      </c>
      <c r="AF97" s="5" t="s">
        <v>1093</v>
      </c>
      <c r="AG97" s="29" t="s">
        <v>288</v>
      </c>
      <c r="AH97" s="5" t="s">
        <v>1219</v>
      </c>
      <c r="AI97" s="5" t="s">
        <v>823</v>
      </c>
      <c r="AK97" s="5" t="s">
        <v>823</v>
      </c>
      <c r="AL97" s="10">
        <v>100</v>
      </c>
      <c r="AM97" s="10">
        <v>100</v>
      </c>
      <c r="AN97" s="11">
        <v>100</v>
      </c>
    </row>
    <row r="98" spans="1:40" ht="30" customHeight="1" x14ac:dyDescent="0.3">
      <c r="A98" s="5" t="s">
        <v>294</v>
      </c>
      <c r="B98" s="5" t="s">
        <v>712</v>
      </c>
      <c r="C98" s="29" t="s">
        <v>1070</v>
      </c>
      <c r="D98" s="5" t="s">
        <v>1001</v>
      </c>
      <c r="E98" s="27">
        <v>0</v>
      </c>
      <c r="F98" s="5" t="s">
        <v>823</v>
      </c>
      <c r="G98" s="27">
        <v>0</v>
      </c>
      <c r="H98" s="5" t="s">
        <v>823</v>
      </c>
      <c r="I98" s="27">
        <v>0</v>
      </c>
      <c r="J98" s="5" t="s">
        <v>823</v>
      </c>
      <c r="K98" s="27">
        <v>0</v>
      </c>
      <c r="L98" s="5" t="s">
        <v>823</v>
      </c>
      <c r="M98" s="27">
        <v>0</v>
      </c>
      <c r="N98" s="5" t="s">
        <v>823</v>
      </c>
      <c r="O98" s="27">
        <v>0</v>
      </c>
      <c r="P98" s="5" t="s">
        <v>823</v>
      </c>
      <c r="Q98" s="27">
        <v>0</v>
      </c>
      <c r="R98" s="5" t="s">
        <v>823</v>
      </c>
      <c r="S98" s="27">
        <v>0</v>
      </c>
      <c r="T98" s="5" t="s">
        <v>823</v>
      </c>
      <c r="U98" s="27">
        <f t="shared" si="0"/>
        <v>0</v>
      </c>
      <c r="V98" s="27">
        <f>ROUND(0 * 공사설정!$C$25 / 100*AM98/ 100,2)</f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10">
        <v>86757</v>
      </c>
      <c r="AC98" s="27">
        <v>0</v>
      </c>
      <c r="AD98" s="27">
        <v>0</v>
      </c>
      <c r="AE98" s="27">
        <f>ROUND(IF(MIN(W98:AD98)&lt;0, MIN(W98:AD98), SMALL(W98:AD98,COUNTIF(W98:AD98,0)+1)) * 공사설정!$C$26 / 100*AN98/ 100,2)</f>
        <v>86757</v>
      </c>
      <c r="AF98" s="5" t="s">
        <v>497</v>
      </c>
      <c r="AG98" s="29" t="s">
        <v>288</v>
      </c>
      <c r="AH98" s="5" t="s">
        <v>1219</v>
      </c>
      <c r="AI98" s="5" t="s">
        <v>823</v>
      </c>
      <c r="AK98" s="5" t="s">
        <v>823</v>
      </c>
      <c r="AL98" s="10">
        <v>100</v>
      </c>
      <c r="AM98" s="10">
        <v>100</v>
      </c>
      <c r="AN98" s="11">
        <v>100</v>
      </c>
    </row>
    <row r="99" spans="1:40" ht="30" customHeight="1" x14ac:dyDescent="0.3">
      <c r="A99" s="5" t="s">
        <v>1142</v>
      </c>
      <c r="B99" s="5" t="s">
        <v>725</v>
      </c>
      <c r="C99" s="29" t="s">
        <v>199</v>
      </c>
      <c r="D99" s="5" t="s">
        <v>1001</v>
      </c>
      <c r="E99" s="27">
        <v>0</v>
      </c>
      <c r="F99" s="5" t="s">
        <v>823</v>
      </c>
      <c r="G99" s="27">
        <v>0</v>
      </c>
      <c r="H99" s="5" t="s">
        <v>823</v>
      </c>
      <c r="I99" s="27">
        <v>0</v>
      </c>
      <c r="J99" s="5" t="s">
        <v>823</v>
      </c>
      <c r="K99" s="27">
        <v>0</v>
      </c>
      <c r="L99" s="5" t="s">
        <v>823</v>
      </c>
      <c r="M99" s="27">
        <v>0</v>
      </c>
      <c r="N99" s="5" t="s">
        <v>823</v>
      </c>
      <c r="O99" s="27">
        <v>0</v>
      </c>
      <c r="P99" s="5" t="s">
        <v>823</v>
      </c>
      <c r="Q99" s="27">
        <v>0</v>
      </c>
      <c r="R99" s="5" t="s">
        <v>823</v>
      </c>
      <c r="S99" s="27">
        <v>0</v>
      </c>
      <c r="T99" s="5" t="s">
        <v>823</v>
      </c>
      <c r="U99" s="27">
        <f t="shared" si="0"/>
        <v>0</v>
      </c>
      <c r="V99" s="27">
        <f>ROUND(0 * 공사설정!$C$25 / 100*AM99/ 100,2)</f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10">
        <v>65504</v>
      </c>
      <c r="AC99" s="27">
        <v>0</v>
      </c>
      <c r="AD99" s="27">
        <v>0</v>
      </c>
      <c r="AE99" s="27">
        <f>ROUND(IF(MIN(W99:AD99)&lt;0, MIN(W99:AD99), SMALL(W99:AD99,COUNTIF(W99:AD99,0)+1)) * 공사설정!$C$26 / 100*AN99/ 100,2)</f>
        <v>65504</v>
      </c>
      <c r="AF99" s="5" t="s">
        <v>935</v>
      </c>
      <c r="AG99" s="29" t="s">
        <v>288</v>
      </c>
      <c r="AH99" s="5" t="s">
        <v>1219</v>
      </c>
      <c r="AI99" s="5" t="s">
        <v>823</v>
      </c>
      <c r="AK99" s="5" t="s">
        <v>823</v>
      </c>
      <c r="AL99" s="10">
        <v>100</v>
      </c>
      <c r="AM99" s="10">
        <v>100</v>
      </c>
      <c r="AN99" s="11">
        <v>100</v>
      </c>
    </row>
    <row r="100" spans="1:40" ht="30" customHeight="1" x14ac:dyDescent="0.3">
      <c r="A100" s="5" t="s">
        <v>368</v>
      </c>
      <c r="B100" s="5" t="s">
        <v>987</v>
      </c>
      <c r="C100" s="29" t="s">
        <v>1306</v>
      </c>
      <c r="D100" s="5" t="s">
        <v>1312</v>
      </c>
      <c r="E100" s="27">
        <v>0</v>
      </c>
      <c r="F100" s="5" t="s">
        <v>823</v>
      </c>
      <c r="G100" s="27">
        <v>0</v>
      </c>
      <c r="H100" s="5" t="s">
        <v>823</v>
      </c>
      <c r="I100" s="27">
        <v>0</v>
      </c>
      <c r="J100" s="5" t="s">
        <v>823</v>
      </c>
      <c r="K100" s="27">
        <v>0</v>
      </c>
      <c r="L100" s="5" t="s">
        <v>823</v>
      </c>
      <c r="M100" s="27">
        <v>0</v>
      </c>
      <c r="N100" s="5" t="s">
        <v>823</v>
      </c>
      <c r="O100" s="27">
        <v>0</v>
      </c>
      <c r="P100" s="5" t="s">
        <v>823</v>
      </c>
      <c r="Q100" s="27">
        <v>0</v>
      </c>
      <c r="R100" s="5" t="s">
        <v>823</v>
      </c>
      <c r="S100" s="27">
        <v>0</v>
      </c>
      <c r="T100" s="5" t="s">
        <v>823</v>
      </c>
      <c r="U100" s="27">
        <f t="shared" si="0"/>
        <v>0</v>
      </c>
      <c r="V100" s="27">
        <f>ROUND(0 * 공사설정!$C$25 / 100*AM100/ 100,2)</f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10">
        <v>168424</v>
      </c>
      <c r="AD100" s="27">
        <v>0</v>
      </c>
      <c r="AE100" s="27">
        <f>ROUND(IF(MIN(W100:AD100)&lt;0, MIN(W100:AD100), SMALL(W100:AD100,COUNTIF(W100:AD100,0)+1)) * 공사설정!$C$26 / 100*AN100/ 100,2)</f>
        <v>168424</v>
      </c>
      <c r="AF100" s="5" t="s">
        <v>861</v>
      </c>
      <c r="AG100" s="29" t="s">
        <v>823</v>
      </c>
      <c r="AH100" s="5" t="s">
        <v>1219</v>
      </c>
      <c r="AI100" s="5" t="s">
        <v>823</v>
      </c>
      <c r="AK100" s="5" t="s">
        <v>823</v>
      </c>
      <c r="AL100" s="10">
        <v>100</v>
      </c>
      <c r="AM100" s="10">
        <v>100</v>
      </c>
      <c r="AN100" s="11">
        <v>100</v>
      </c>
    </row>
    <row r="101" spans="1:40" ht="30" customHeight="1" x14ac:dyDescent="0.3">
      <c r="A101" s="5" t="s">
        <v>836</v>
      </c>
      <c r="B101" s="5" t="s">
        <v>987</v>
      </c>
      <c r="C101" s="29" t="s">
        <v>879</v>
      </c>
      <c r="D101" s="5" t="s">
        <v>1312</v>
      </c>
      <c r="E101" s="27">
        <v>0</v>
      </c>
      <c r="F101" s="5" t="s">
        <v>823</v>
      </c>
      <c r="G101" s="27">
        <v>0</v>
      </c>
      <c r="H101" s="5" t="s">
        <v>823</v>
      </c>
      <c r="I101" s="27">
        <v>0</v>
      </c>
      <c r="J101" s="5" t="s">
        <v>823</v>
      </c>
      <c r="K101" s="27">
        <v>0</v>
      </c>
      <c r="L101" s="5" t="s">
        <v>823</v>
      </c>
      <c r="M101" s="27">
        <v>0</v>
      </c>
      <c r="N101" s="5" t="s">
        <v>823</v>
      </c>
      <c r="O101" s="27">
        <v>0</v>
      </c>
      <c r="P101" s="5" t="s">
        <v>823</v>
      </c>
      <c r="Q101" s="27">
        <v>0</v>
      </c>
      <c r="R101" s="5" t="s">
        <v>823</v>
      </c>
      <c r="S101" s="27">
        <v>0</v>
      </c>
      <c r="T101" s="5" t="s">
        <v>823</v>
      </c>
      <c r="U101" s="27">
        <f t="shared" si="0"/>
        <v>0</v>
      </c>
      <c r="V101" s="27">
        <f>ROUND(0 * 공사설정!$C$25 / 100*AM101/ 100,2)</f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10">
        <v>173154</v>
      </c>
      <c r="AD101" s="27">
        <v>0</v>
      </c>
      <c r="AE101" s="27">
        <f>ROUND(IF(MIN(W101:AD101)&lt;0, MIN(W101:AD101), SMALL(W101:AD101,COUNTIF(W101:AD101,0)+1)) * 공사설정!$C$26 / 100*AN101/ 100,2)</f>
        <v>173154</v>
      </c>
      <c r="AF101" s="5" t="s">
        <v>301</v>
      </c>
      <c r="AG101" s="29" t="s">
        <v>823</v>
      </c>
      <c r="AH101" s="5" t="s">
        <v>1219</v>
      </c>
      <c r="AI101" s="5" t="s">
        <v>823</v>
      </c>
      <c r="AK101" s="5" t="s">
        <v>823</v>
      </c>
      <c r="AL101" s="10">
        <v>100</v>
      </c>
      <c r="AM101" s="10">
        <v>100</v>
      </c>
      <c r="AN101" s="11">
        <v>100</v>
      </c>
    </row>
    <row r="102" spans="1:40" ht="30" customHeight="1" x14ac:dyDescent="0.3">
      <c r="A102" s="5" t="s">
        <v>670</v>
      </c>
      <c r="B102" s="5" t="s">
        <v>951</v>
      </c>
      <c r="C102" s="29" t="s">
        <v>520</v>
      </c>
      <c r="D102" s="5" t="s">
        <v>80</v>
      </c>
      <c r="E102" s="27">
        <v>0</v>
      </c>
      <c r="F102" s="5"/>
      <c r="G102" s="27">
        <v>0</v>
      </c>
      <c r="H102" s="5"/>
      <c r="I102" s="27">
        <v>0</v>
      </c>
      <c r="J102" s="5"/>
      <c r="K102" s="27">
        <v>0</v>
      </c>
      <c r="L102" s="5"/>
      <c r="M102" s="27">
        <v>0</v>
      </c>
      <c r="N102" s="5"/>
      <c r="O102" s="27">
        <v>0</v>
      </c>
      <c r="P102" s="5"/>
      <c r="Q102" s="27">
        <v>0</v>
      </c>
      <c r="R102" s="5"/>
      <c r="S102" s="27">
        <v>0</v>
      </c>
      <c r="T102" s="5"/>
      <c r="U102" s="27">
        <f t="shared" si="0"/>
        <v>0</v>
      </c>
      <c r="V102" s="27">
        <f>ROUND(0 * 공사설정!$C$25 / 100*AM102/ 100,2)</f>
        <v>0</v>
      </c>
      <c r="W102" s="27">
        <v>0</v>
      </c>
      <c r="X102" s="27">
        <v>0</v>
      </c>
      <c r="Y102" s="27">
        <v>0</v>
      </c>
      <c r="Z102" s="27">
        <v>0</v>
      </c>
      <c r="AA102" s="10">
        <v>50000</v>
      </c>
      <c r="AB102" s="27">
        <v>0</v>
      </c>
      <c r="AC102" s="27">
        <v>0</v>
      </c>
      <c r="AD102" s="27">
        <v>0</v>
      </c>
      <c r="AE102" s="27">
        <f>ROUND(IF(MIN(W102:AD102)&lt;0, MIN(W102:AD102), SMALL(W102:AD102,COUNTIF(W102:AD102,0)+1)) * 공사설정!$C$26 / 100*AN102/ 100,2)</f>
        <v>50000</v>
      </c>
      <c r="AF102" s="5" t="s">
        <v>585</v>
      </c>
      <c r="AG102" s="29" t="s">
        <v>823</v>
      </c>
      <c r="AH102" s="5" t="s">
        <v>1219</v>
      </c>
      <c r="AI102" s="5" t="s">
        <v>823</v>
      </c>
      <c r="AK102" s="5" t="s">
        <v>823</v>
      </c>
      <c r="AL102" s="10">
        <v>100</v>
      </c>
      <c r="AM102" s="10">
        <v>100</v>
      </c>
      <c r="AN102" s="11">
        <v>100</v>
      </c>
    </row>
    <row r="103" spans="1:40" ht="30" customHeight="1" x14ac:dyDescent="0.3">
      <c r="A103" s="5" t="s">
        <v>839</v>
      </c>
      <c r="B103" s="5" t="s">
        <v>606</v>
      </c>
      <c r="C103" s="29" t="s">
        <v>489</v>
      </c>
      <c r="D103" s="5" t="s">
        <v>1154</v>
      </c>
      <c r="E103" s="27">
        <v>0</v>
      </c>
      <c r="F103" s="5" t="s">
        <v>823</v>
      </c>
      <c r="G103" s="27">
        <v>0</v>
      </c>
      <c r="H103" s="5" t="s">
        <v>823</v>
      </c>
      <c r="I103" s="27">
        <v>0</v>
      </c>
      <c r="J103" s="5"/>
      <c r="K103" s="27">
        <v>0</v>
      </c>
      <c r="L103" s="5" t="s">
        <v>823</v>
      </c>
      <c r="M103" s="27">
        <v>0</v>
      </c>
      <c r="N103" s="5"/>
      <c r="O103" s="27">
        <v>0</v>
      </c>
      <c r="P103" s="5" t="s">
        <v>823</v>
      </c>
      <c r="Q103" s="27">
        <v>0</v>
      </c>
      <c r="R103" s="5" t="s">
        <v>823</v>
      </c>
      <c r="S103" s="27">
        <v>0</v>
      </c>
      <c r="T103" s="5" t="s">
        <v>823</v>
      </c>
      <c r="U103" s="27">
        <f t="shared" si="0"/>
        <v>0</v>
      </c>
      <c r="V103" s="27">
        <f>ROUND(0 * 공사설정!$C$25 / 100*AM103/ 100,2)</f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10">
        <v>3520</v>
      </c>
      <c r="AC103" s="27">
        <v>0</v>
      </c>
      <c r="AD103" s="27">
        <v>0</v>
      </c>
      <c r="AE103" s="27">
        <f>ROUND(IF(MIN(W103:AD103)&lt;0, MIN(W103:AD103), SMALL(W103:AD103,COUNTIF(W103:AD103,0)+1)) * 공사설정!$C$26 / 100*AN103/ 100,2)</f>
        <v>3520</v>
      </c>
      <c r="AF103" s="5" t="s">
        <v>197</v>
      </c>
      <c r="AG103" s="29" t="s">
        <v>823</v>
      </c>
      <c r="AH103" s="5" t="s">
        <v>1219</v>
      </c>
      <c r="AI103" s="5" t="s">
        <v>823</v>
      </c>
      <c r="AK103" s="5" t="s">
        <v>823</v>
      </c>
      <c r="AL103" s="10">
        <v>100</v>
      </c>
      <c r="AM103" s="10">
        <v>100</v>
      </c>
      <c r="AN103" s="11">
        <v>100</v>
      </c>
    </row>
    <row r="104" spans="1:40" ht="30" customHeight="1" x14ac:dyDescent="0.3">
      <c r="A104" s="5" t="s">
        <v>982</v>
      </c>
      <c r="B104" s="5" t="s">
        <v>1293</v>
      </c>
      <c r="C104" s="29" t="s">
        <v>714</v>
      </c>
      <c r="D104" s="5" t="s">
        <v>1154</v>
      </c>
      <c r="E104" s="27">
        <v>0</v>
      </c>
      <c r="F104" s="5" t="s">
        <v>823</v>
      </c>
      <c r="G104" s="27">
        <v>0</v>
      </c>
      <c r="H104" s="5" t="s">
        <v>823</v>
      </c>
      <c r="I104" s="27">
        <v>0</v>
      </c>
      <c r="J104" s="5"/>
      <c r="K104" s="27">
        <v>0</v>
      </c>
      <c r="L104" s="5" t="s">
        <v>823</v>
      </c>
      <c r="M104" s="27">
        <v>0</v>
      </c>
      <c r="N104" s="5"/>
      <c r="O104" s="27">
        <v>0</v>
      </c>
      <c r="P104" s="5" t="s">
        <v>823</v>
      </c>
      <c r="Q104" s="27">
        <v>0</v>
      </c>
      <c r="R104" s="5" t="s">
        <v>823</v>
      </c>
      <c r="S104" s="27">
        <v>0</v>
      </c>
      <c r="T104" s="5" t="s">
        <v>823</v>
      </c>
      <c r="U104" s="27">
        <f t="shared" si="0"/>
        <v>0</v>
      </c>
      <c r="V104" s="27">
        <f>ROUND(0 * 공사설정!$C$25 / 100*AM104/ 100,2)</f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10">
        <v>15990</v>
      </c>
      <c r="AC104" s="27">
        <v>0</v>
      </c>
      <c r="AD104" s="27">
        <v>0</v>
      </c>
      <c r="AE104" s="27">
        <f>ROUND(IF(MIN(W104:AD104)&lt;0, MIN(W104:AD104), SMALL(W104:AD104,COUNTIF(W104:AD104,0)+1)) * 공사설정!$C$26 / 100*AN104/ 100,2)</f>
        <v>15990</v>
      </c>
      <c r="AF104" s="5" t="s">
        <v>1243</v>
      </c>
      <c r="AG104" s="29" t="s">
        <v>823</v>
      </c>
      <c r="AH104" s="5" t="s">
        <v>1219</v>
      </c>
      <c r="AI104" s="5" t="s">
        <v>823</v>
      </c>
      <c r="AK104" s="5" t="s">
        <v>823</v>
      </c>
      <c r="AL104" s="10">
        <v>100</v>
      </c>
      <c r="AM104" s="10">
        <v>100</v>
      </c>
      <c r="AN104" s="11">
        <v>100</v>
      </c>
    </row>
  </sheetData>
  <mergeCells count="18">
    <mergeCell ref="AM3:AM4"/>
    <mergeCell ref="AN3:AN4"/>
    <mergeCell ref="AH3:AH4"/>
    <mergeCell ref="AI3:AI4"/>
    <mergeCell ref="AJ3:AJ4"/>
    <mergeCell ref="AK3:AK4"/>
    <mergeCell ref="AL3:AL4"/>
    <mergeCell ref="A1:AG1"/>
    <mergeCell ref="A2:AG2"/>
    <mergeCell ref="A3:A4"/>
    <mergeCell ref="B3:B4"/>
    <mergeCell ref="C3:C4"/>
    <mergeCell ref="D3:D4"/>
    <mergeCell ref="E3:U3"/>
    <mergeCell ref="V3:V4"/>
    <mergeCell ref="W3:AE3"/>
    <mergeCell ref="AF3:AF4"/>
    <mergeCell ref="AG3:AG4"/>
  </mergeCells>
  <phoneticPr fontId="8" type="noConversion"/>
  <printOptions horizontalCentered="1"/>
  <pageMargins left="0.59055118110236227" right="0.19685039370078741" top="0.59055118110236227" bottom="0.27559055118110237" header="0" footer="0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N26"/>
  <sheetViews>
    <sheetView view="pageBreakPreview" zoomScaleNormal="100" zoomScaleSheetLayoutView="100" workbookViewId="0">
      <selection activeCell="H31" sqref="H31"/>
    </sheetView>
  </sheetViews>
  <sheetFormatPr defaultColWidth="9.125" defaultRowHeight="16.5" x14ac:dyDescent="0.3"/>
  <sheetData>
    <row r="1" spans="1:11" x14ac:dyDescent="0.3">
      <c r="A1" s="14" t="s">
        <v>266</v>
      </c>
    </row>
    <row r="2" spans="1:11" x14ac:dyDescent="0.3">
      <c r="B2" s="14" t="s">
        <v>1098</v>
      </c>
      <c r="C2" s="14" t="s">
        <v>1075</v>
      </c>
    </row>
    <row r="3" spans="1:11" x14ac:dyDescent="0.3">
      <c r="B3" s="14" t="s">
        <v>1233</v>
      </c>
      <c r="C3" s="14" t="s">
        <v>439</v>
      </c>
    </row>
    <row r="4" spans="1:11" x14ac:dyDescent="0.3">
      <c r="B4" s="14" t="s">
        <v>440</v>
      </c>
      <c r="C4" s="14" t="s">
        <v>388</v>
      </c>
    </row>
    <row r="5" spans="1:11" x14ac:dyDescent="0.3">
      <c r="B5" s="14" t="s">
        <v>786</v>
      </c>
      <c r="C5" s="14" t="s">
        <v>388</v>
      </c>
    </row>
    <row r="6" spans="1:11" x14ac:dyDescent="0.3">
      <c r="B6" s="14" t="s">
        <v>203</v>
      </c>
      <c r="C6" s="14" t="s">
        <v>388</v>
      </c>
    </row>
    <row r="7" spans="1:11" x14ac:dyDescent="0.3">
      <c r="B7" s="14" t="s">
        <v>214</v>
      </c>
      <c r="C7" s="14" t="s">
        <v>1322</v>
      </c>
    </row>
    <row r="8" spans="1:11" x14ac:dyDescent="0.3">
      <c r="B8" s="14" t="s">
        <v>1181</v>
      </c>
      <c r="C8" s="14" t="s">
        <v>1219</v>
      </c>
      <c r="D8" s="31">
        <v>1</v>
      </c>
    </row>
    <row r="9" spans="1:11" x14ac:dyDescent="0.3">
      <c r="B9" s="14" t="s">
        <v>161</v>
      </c>
      <c r="C9" s="14" t="s">
        <v>1219</v>
      </c>
      <c r="D9" s="31">
        <v>3</v>
      </c>
    </row>
    <row r="10" spans="1:11" x14ac:dyDescent="0.3">
      <c r="B10" s="14" t="s">
        <v>282</v>
      </c>
      <c r="C10" s="14" t="s">
        <v>492</v>
      </c>
      <c r="D10" s="14" t="s">
        <v>501</v>
      </c>
      <c r="E10" s="14" t="s">
        <v>936</v>
      </c>
      <c r="F10" s="14" t="s">
        <v>178</v>
      </c>
      <c r="G10" s="14" t="s">
        <v>562</v>
      </c>
      <c r="H10" s="14" t="s">
        <v>1032</v>
      </c>
      <c r="I10" s="14" t="s">
        <v>265</v>
      </c>
      <c r="J10" s="14" t="s">
        <v>30</v>
      </c>
      <c r="K10" s="14" t="s">
        <v>284</v>
      </c>
    </row>
    <row r="11" spans="1:11" x14ac:dyDescent="0.3">
      <c r="B11" s="14" t="s">
        <v>1170</v>
      </c>
      <c r="C11" s="31">
        <v>1466</v>
      </c>
      <c r="D11" s="31">
        <v>961</v>
      </c>
      <c r="E11" s="31">
        <v>0</v>
      </c>
    </row>
    <row r="12" spans="1:11" x14ac:dyDescent="0.3">
      <c r="B12" s="14" t="s">
        <v>425</v>
      </c>
      <c r="C12" s="14" t="s">
        <v>1103</v>
      </c>
      <c r="D12" s="31">
        <v>5</v>
      </c>
    </row>
    <row r="13" spans="1:11" x14ac:dyDescent="0.3">
      <c r="B13" s="14" t="s">
        <v>395</v>
      </c>
      <c r="C13" s="14" t="s">
        <v>1103</v>
      </c>
      <c r="D13" s="31">
        <v>5</v>
      </c>
    </row>
    <row r="14" spans="1:11" x14ac:dyDescent="0.3">
      <c r="B14" s="14" t="s">
        <v>644</v>
      </c>
      <c r="C14" s="14" t="s">
        <v>1103</v>
      </c>
      <c r="D14" s="31">
        <v>4</v>
      </c>
    </row>
    <row r="15" spans="1:11" x14ac:dyDescent="0.3">
      <c r="B15" s="14" t="s">
        <v>699</v>
      </c>
      <c r="C15" s="14" t="s">
        <v>1219</v>
      </c>
      <c r="D15" s="31">
        <v>6</v>
      </c>
    </row>
    <row r="16" spans="1:11" x14ac:dyDescent="0.3">
      <c r="B16" s="14" t="s">
        <v>77</v>
      </c>
      <c r="C16" s="14" t="s">
        <v>1075</v>
      </c>
      <c r="D16" s="14" t="s">
        <v>107</v>
      </c>
      <c r="E16" s="14" t="s">
        <v>899</v>
      </c>
      <c r="F16" s="14" t="s">
        <v>821</v>
      </c>
      <c r="G16" s="14" t="s">
        <v>997</v>
      </c>
    </row>
    <row r="17" spans="2:14" x14ac:dyDescent="0.3">
      <c r="B17" s="14" t="s">
        <v>754</v>
      </c>
      <c r="C17" s="31">
        <v>1.1100000000000001</v>
      </c>
      <c r="D17" s="31">
        <v>1.1200000000000001</v>
      </c>
    </row>
    <row r="18" spans="2:14" x14ac:dyDescent="0.3">
      <c r="B18" s="14" t="s">
        <v>1034</v>
      </c>
      <c r="C18" s="31">
        <v>1</v>
      </c>
      <c r="D18" s="31">
        <v>1.5</v>
      </c>
      <c r="E18" s="31">
        <v>1.1599999999999999</v>
      </c>
      <c r="F18" s="31">
        <v>1.6</v>
      </c>
      <c r="G18" s="31">
        <v>1.6</v>
      </c>
      <c r="H18" s="31">
        <v>1.6</v>
      </c>
      <c r="I18" s="31">
        <v>1.94</v>
      </c>
      <c r="J18" s="31">
        <v>1.94</v>
      </c>
      <c r="K18" s="31">
        <v>1.94</v>
      </c>
      <c r="L18" s="31">
        <v>1</v>
      </c>
      <c r="M18" s="31">
        <v>1</v>
      </c>
      <c r="N18" s="31">
        <v>1</v>
      </c>
    </row>
    <row r="19" spans="2:14" x14ac:dyDescent="0.3">
      <c r="B19" s="14" t="s">
        <v>210</v>
      </c>
      <c r="C19" s="31">
        <v>1.25</v>
      </c>
      <c r="D19" s="31">
        <v>1.071</v>
      </c>
    </row>
    <row r="20" spans="2:14" x14ac:dyDescent="0.3">
      <c r="B20" s="14" t="s">
        <v>856</v>
      </c>
    </row>
    <row r="21" spans="2:14" x14ac:dyDescent="0.3">
      <c r="B21" s="14" t="s">
        <v>1092</v>
      </c>
      <c r="C21" s="14" t="s">
        <v>1219</v>
      </c>
      <c r="D21" s="31">
        <v>1</v>
      </c>
    </row>
    <row r="22" spans="2:14" x14ac:dyDescent="0.3">
      <c r="B22" s="14" t="s">
        <v>274</v>
      </c>
      <c r="C22" s="14" t="s">
        <v>654</v>
      </c>
      <c r="D22" s="14" t="s">
        <v>1201</v>
      </c>
    </row>
    <row r="23" spans="2:14" x14ac:dyDescent="0.3">
      <c r="B23" s="14" t="s">
        <v>997</v>
      </c>
      <c r="C23" s="14" t="s">
        <v>1192</v>
      </c>
      <c r="D23" s="14" t="s">
        <v>1192</v>
      </c>
    </row>
    <row r="24" spans="2:14" x14ac:dyDescent="0.3">
      <c r="B24" s="14" t="s">
        <v>825</v>
      </c>
      <c r="C24" s="31">
        <v>100</v>
      </c>
    </row>
    <row r="25" spans="2:14" x14ac:dyDescent="0.3">
      <c r="B25" s="14" t="s">
        <v>900</v>
      </c>
      <c r="C25" s="31">
        <v>100</v>
      </c>
    </row>
    <row r="26" spans="2:14" x14ac:dyDescent="0.3">
      <c r="B26" s="14" t="s">
        <v>190</v>
      </c>
      <c r="C26" s="31">
        <v>100</v>
      </c>
    </row>
  </sheetData>
  <phoneticPr fontId="8" type="noConversion"/>
  <printOptions horizontalCentered="1"/>
  <pageMargins left="0.59055118110236227" right="0.19685039370078741" top="0.47244094488188981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15</vt:i4>
      </vt:variant>
    </vt:vector>
  </HeadingPairs>
  <TitlesOfParts>
    <vt:vector size="24" baseType="lpstr"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공사설정</vt:lpstr>
      <vt:lpstr>공종별내역서!Print_Area</vt:lpstr>
      <vt:lpstr>공종별집계표!Print_Area</vt:lpstr>
      <vt:lpstr>원가계산서!Print_Area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미미 오</cp:lastModifiedBy>
  <cp:lastPrinted>2025-11-03T02:12:35Z</cp:lastPrinted>
  <dcterms:created xsi:type="dcterms:W3CDTF">2025-10-18T03:01:32Z</dcterms:created>
  <dcterms:modified xsi:type="dcterms:W3CDTF">2025-11-03T02:12:52Z</dcterms:modified>
</cp:coreProperties>
</file>