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D:\이서영\iCloudDrive - 복사본\2025\0. 도립 뮤지엄 콘텐츠 확충사업\2. 공사\계약 관련\입찰 서류\"/>
    </mc:Choice>
  </mc:AlternateContent>
  <xr:revisionPtr revIDLastSave="0" documentId="13_ncr:1_{8798445F-B302-49AB-BC7F-5A394ED29C90}" xr6:coauthVersionLast="47" xr6:coauthVersionMax="47" xr10:uidLastSave="{00000000-0000-0000-0000-000000000000}"/>
  <bookViews>
    <workbookView xWindow="-120" yWindow="-120" windowWidth="29040" windowHeight="15720" tabRatio="932" xr2:uid="{054CDFF3-9AA3-49D5-A1F6-41B497B98DC5}"/>
  </bookViews>
  <sheets>
    <sheet name="표지" sheetId="29" r:id="rId1"/>
    <sheet name="원가계산서" sheetId="15" r:id="rId2"/>
    <sheet name="공종별 집계표" sheetId="13" r:id="rId3"/>
    <sheet name="안내데스크" sheetId="30" r:id="rId4"/>
    <sheet name="교육 체험공간" sheetId="45" r:id="rId5"/>
    <sheet name="로비 휴게공간" sheetId="47" r:id="rId6"/>
    <sheet name="입구 주먹도끼 단독장" sheetId="48" r:id="rId7"/>
    <sheet name="뼈와 도구의 연대기" sheetId="49" r:id="rId8"/>
    <sheet name="인류 진화의 위대한 행진" sheetId="50" r:id="rId9"/>
    <sheet name="전곡리 발굴현장" sheetId="51" r:id="rId10"/>
    <sheet name="전곡리 발굴사 및 토층" sheetId="52" r:id="rId11"/>
    <sheet name="전곡리 발굴사 " sheetId="53" r:id="rId12"/>
    <sheet name="토층 앞 주먹도끼장" sheetId="54" r:id="rId13"/>
    <sheet name="한탄 임진강 유역의 구석기" sheetId="55" r:id="rId14"/>
    <sheet name="우리나라의 구석기" sheetId="56" r:id="rId15"/>
    <sheet name="바닥 매장유구" sheetId="57" r:id="rId16"/>
    <sheet name="구석기시대의 예술" sheetId="58" r:id="rId17"/>
    <sheet name="홀로그램 전시대" sheetId="59" r:id="rId18"/>
    <sheet name="  2025 하반기" sheetId="24" r:id="rId19"/>
    <sheet name="일위대가" sheetId="26" state="hidden" r:id="rId20"/>
    <sheet name="단가대비표" sheetId="27" state="hidden" r:id="rId21"/>
  </sheets>
  <externalReferences>
    <externalReference r:id="rId22"/>
  </externalReferences>
  <definedNames>
    <definedName name="_xlnm.Print_Area" localSheetId="18">'  2025 하반기'!$A$1:$D$43</definedName>
    <definedName name="_xlnm.Print_Area" localSheetId="2">'공종별 집계표'!$A$1:$K$21</definedName>
    <definedName name="_xlnm.Print_Area" localSheetId="4">'교육 체험공간'!$A$1:$K$27</definedName>
    <definedName name="_xlnm.Print_Area" localSheetId="16">'구석기시대의 예술'!$A$1:$K$26</definedName>
    <definedName name="_xlnm.Print_Area" localSheetId="20">단가대비표!$A$1:$X$61</definedName>
    <definedName name="_xlnm.Print_Area" localSheetId="5">'로비 휴게공간'!$A$1:$K$27</definedName>
    <definedName name="_xlnm.Print_Area" localSheetId="15">'바닥 매장유구'!$A$1:$K$26</definedName>
    <definedName name="_xlnm.Print_Area" localSheetId="7">'뼈와 도구의 연대기'!$A$1:$K$27</definedName>
    <definedName name="_xlnm.Print_Area" localSheetId="3">안내데스크!$A$1:$K$27</definedName>
    <definedName name="_xlnm.Print_Area" localSheetId="14">'우리나라의 구석기'!$A$1:$K$27</definedName>
    <definedName name="_xlnm.Print_Area" localSheetId="1">원가계산서!$A$1:$G$25</definedName>
    <definedName name="_xlnm.Print_Area" localSheetId="8">'인류 진화의 위대한 행진'!$A$1:$K$29</definedName>
    <definedName name="_xlnm.Print_Area" localSheetId="19">일위대가!$A$1:$M$237</definedName>
    <definedName name="_xlnm.Print_Area" localSheetId="6">'입구 주먹도끼 단독장'!$A$1:$K$27</definedName>
    <definedName name="_xlnm.Print_Area" localSheetId="11">'전곡리 발굴사 '!$A$1:$K$27</definedName>
    <definedName name="_xlnm.Print_Area" localSheetId="10">'전곡리 발굴사 및 토층'!$A$1:$K$27</definedName>
    <definedName name="_xlnm.Print_Area" localSheetId="9">'전곡리 발굴현장'!$A$1:$K$26</definedName>
    <definedName name="_xlnm.Print_Area" localSheetId="12">'토층 앞 주먹도끼장'!$A$1:$K$26</definedName>
    <definedName name="_xlnm.Print_Area" localSheetId="13">'한탄 임진강 유역의 구석기'!$A$1:$K$26</definedName>
    <definedName name="_xlnm.Print_Area" localSheetId="17">'홀로그램 전시대'!$A$1:$K$26</definedName>
    <definedName name="_xlnm.Print_Titles" localSheetId="18">'  2025 하반기'!$6:$6</definedName>
    <definedName name="_xlnm.Print_Titles" localSheetId="20">단가대비표!$1:$2</definedName>
    <definedName name="_xlnm.Print_Titles" localSheetId="19">일위대가!$1:$2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5" l="1"/>
  <c r="E5" i="48"/>
  <c r="E6" i="48"/>
  <c r="K17" i="50"/>
  <c r="I17" i="50"/>
  <c r="H17" i="50"/>
  <c r="I18" i="13" l="1"/>
  <c r="G18" i="13"/>
  <c r="G17" i="13"/>
  <c r="G16" i="13"/>
  <c r="I15" i="13"/>
  <c r="G15" i="13"/>
  <c r="I14" i="13"/>
  <c r="K14" i="13" s="1"/>
  <c r="G14" i="13"/>
  <c r="G13" i="13"/>
  <c r="I12" i="13"/>
  <c r="G12" i="13"/>
  <c r="I10" i="13"/>
  <c r="G10" i="13"/>
  <c r="I8" i="13"/>
  <c r="K12" i="13"/>
  <c r="K18" i="13"/>
  <c r="K5" i="13"/>
  <c r="I5" i="13"/>
  <c r="G5" i="13"/>
  <c r="K4" i="13"/>
  <c r="I4" i="13"/>
  <c r="G4" i="13"/>
  <c r="G26" i="58"/>
  <c r="K26" i="59"/>
  <c r="I26" i="59"/>
  <c r="G26" i="59"/>
  <c r="E8" i="59"/>
  <c r="E6" i="59"/>
  <c r="E5" i="59"/>
  <c r="H10" i="59"/>
  <c r="I10" i="59" s="1"/>
  <c r="K10" i="59" s="1"/>
  <c r="E10" i="59"/>
  <c r="K9" i="59"/>
  <c r="I9" i="59"/>
  <c r="H9" i="59"/>
  <c r="E9" i="59"/>
  <c r="H8" i="59"/>
  <c r="I8" i="59" s="1"/>
  <c r="K7" i="59"/>
  <c r="G7" i="59"/>
  <c r="E7" i="59"/>
  <c r="G6" i="59"/>
  <c r="K6" i="59" s="1"/>
  <c r="E6" i="58"/>
  <c r="H15" i="58"/>
  <c r="H14" i="58"/>
  <c r="I14" i="58" s="1"/>
  <c r="K14" i="58" s="1"/>
  <c r="H13" i="58"/>
  <c r="H12" i="58"/>
  <c r="H6" i="58"/>
  <c r="H5" i="58"/>
  <c r="I5" i="58" s="1"/>
  <c r="E10" i="58"/>
  <c r="G10" i="58" s="1"/>
  <c r="K10" i="58" s="1"/>
  <c r="E9" i="58"/>
  <c r="G9" i="58" s="1"/>
  <c r="G16" i="58" s="1"/>
  <c r="I15" i="58"/>
  <c r="K15" i="58" s="1"/>
  <c r="G11" i="58"/>
  <c r="K11" i="58" s="1"/>
  <c r="G26" i="57"/>
  <c r="K20" i="57"/>
  <c r="K21" i="57"/>
  <c r="K19" i="57"/>
  <c r="H24" i="57"/>
  <c r="H23" i="57"/>
  <c r="H22" i="57"/>
  <c r="G21" i="57"/>
  <c r="E20" i="57"/>
  <c r="G20" i="57" s="1"/>
  <c r="E19" i="57"/>
  <c r="G19" i="57" s="1"/>
  <c r="H16" i="57"/>
  <c r="H15" i="57"/>
  <c r="H14" i="57"/>
  <c r="H13" i="57"/>
  <c r="E12" i="57"/>
  <c r="G12" i="57" s="1"/>
  <c r="K12" i="57" s="1"/>
  <c r="E11" i="57"/>
  <c r="G11" i="57" s="1"/>
  <c r="K11" i="57" s="1"/>
  <c r="E10" i="57"/>
  <c r="G10" i="57" s="1"/>
  <c r="K10" i="57" s="1"/>
  <c r="E9" i="57"/>
  <c r="G9" i="57" s="1"/>
  <c r="K9" i="57" s="1"/>
  <c r="H6" i="57"/>
  <c r="E6" i="57"/>
  <c r="H5" i="57"/>
  <c r="I5" i="57" s="1"/>
  <c r="K5" i="57" s="1"/>
  <c r="K27" i="56"/>
  <c r="K19" i="56"/>
  <c r="G19" i="56"/>
  <c r="I10" i="56"/>
  <c r="K10" i="56" s="1"/>
  <c r="I11" i="56"/>
  <c r="I12" i="56"/>
  <c r="I13" i="56"/>
  <c r="G10" i="56"/>
  <c r="G11" i="56"/>
  <c r="G12" i="56"/>
  <c r="G13" i="56"/>
  <c r="I9" i="56"/>
  <c r="K9" i="56" s="1"/>
  <c r="G9" i="56"/>
  <c r="I23" i="54"/>
  <c r="K23" i="54" s="1"/>
  <c r="G19" i="54"/>
  <c r="H23" i="54"/>
  <c r="H22" i="54"/>
  <c r="H21" i="54"/>
  <c r="E20" i="54"/>
  <c r="G20" i="54" s="1"/>
  <c r="K20" i="54" s="1"/>
  <c r="G18" i="54"/>
  <c r="K18" i="54" s="1"/>
  <c r="E17" i="54"/>
  <c r="G17" i="54" s="1"/>
  <c r="H17" i="56"/>
  <c r="I17" i="56" s="1"/>
  <c r="K17" i="56" s="1"/>
  <c r="E17" i="56"/>
  <c r="I16" i="56"/>
  <c r="K16" i="56" s="1"/>
  <c r="H16" i="56"/>
  <c r="E16" i="56"/>
  <c r="H15" i="56"/>
  <c r="I15" i="56" s="1"/>
  <c r="E15" i="56"/>
  <c r="G14" i="56"/>
  <c r="K14" i="56" s="1"/>
  <c r="H6" i="56"/>
  <c r="E6" i="56"/>
  <c r="I6" i="56" s="1"/>
  <c r="K6" i="56" s="1"/>
  <c r="H5" i="56"/>
  <c r="I5" i="56"/>
  <c r="K5" i="56" s="1"/>
  <c r="E11" i="55"/>
  <c r="E9" i="55"/>
  <c r="G9" i="55" s="1"/>
  <c r="H14" i="55"/>
  <c r="E14" i="55"/>
  <c r="I14" i="55" s="1"/>
  <c r="K14" i="55" s="1"/>
  <c r="H13" i="55"/>
  <c r="E13" i="55"/>
  <c r="H12" i="55"/>
  <c r="E12" i="55"/>
  <c r="I12" i="55" s="1"/>
  <c r="G11" i="55"/>
  <c r="K11" i="55" s="1"/>
  <c r="G10" i="55"/>
  <c r="K10" i="55" s="1"/>
  <c r="H6" i="55"/>
  <c r="E6" i="55"/>
  <c r="I6" i="55" s="1"/>
  <c r="K6" i="55" s="1"/>
  <c r="H5" i="55"/>
  <c r="E5" i="55"/>
  <c r="I5" i="55" s="1"/>
  <c r="K5" i="55" s="1"/>
  <c r="K7" i="55" s="1"/>
  <c r="H14" i="54"/>
  <c r="H13" i="54"/>
  <c r="H12" i="54"/>
  <c r="E9" i="54"/>
  <c r="G9" i="54" s="1"/>
  <c r="H6" i="54"/>
  <c r="H5" i="54"/>
  <c r="E6" i="54"/>
  <c r="E5" i="54"/>
  <c r="E11" i="54"/>
  <c r="G11" i="54" s="1"/>
  <c r="K11" i="54" s="1"/>
  <c r="G10" i="54"/>
  <c r="K10" i="54" s="1"/>
  <c r="G27" i="53"/>
  <c r="K27" i="53"/>
  <c r="I27" i="53"/>
  <c r="K14" i="53"/>
  <c r="K11" i="53"/>
  <c r="K12" i="53"/>
  <c r="K10" i="53"/>
  <c r="K9" i="53"/>
  <c r="K7" i="53"/>
  <c r="H12" i="53"/>
  <c r="H11" i="53"/>
  <c r="H10" i="53"/>
  <c r="H6" i="53"/>
  <c r="I6" i="53" s="1"/>
  <c r="K6" i="53" s="1"/>
  <c r="H5" i="53"/>
  <c r="G14" i="53"/>
  <c r="I12" i="53"/>
  <c r="E12" i="53"/>
  <c r="E11" i="53"/>
  <c r="I11" i="53" s="1"/>
  <c r="I10" i="53"/>
  <c r="I14" i="53" s="1"/>
  <c r="E10" i="53"/>
  <c r="G9" i="53"/>
  <c r="E6" i="53"/>
  <c r="E5" i="53"/>
  <c r="K11" i="52"/>
  <c r="K12" i="52"/>
  <c r="I7" i="52"/>
  <c r="I6" i="52"/>
  <c r="I9" i="52"/>
  <c r="I10" i="52"/>
  <c r="K10" i="52" s="1"/>
  <c r="I11" i="52"/>
  <c r="I12" i="52"/>
  <c r="H12" i="52"/>
  <c r="H11" i="52"/>
  <c r="H10" i="52"/>
  <c r="H9" i="52"/>
  <c r="H6" i="52"/>
  <c r="E6" i="52"/>
  <c r="H5" i="52"/>
  <c r="E5" i="52"/>
  <c r="I5" i="52" s="1"/>
  <c r="I26" i="51"/>
  <c r="K26" i="51"/>
  <c r="G26" i="51"/>
  <c r="H15" i="51"/>
  <c r="H14" i="51"/>
  <c r="H13" i="51"/>
  <c r="E15" i="51"/>
  <c r="E14" i="51"/>
  <c r="E13" i="51"/>
  <c r="E7" i="51"/>
  <c r="E10" i="51"/>
  <c r="E9" i="51"/>
  <c r="E8" i="51"/>
  <c r="E5" i="51"/>
  <c r="E6" i="51" s="1"/>
  <c r="G6" i="51" s="1"/>
  <c r="K6" i="51" s="1"/>
  <c r="H10" i="51"/>
  <c r="I10" i="51" s="1"/>
  <c r="K10" i="51" s="1"/>
  <c r="H9" i="51"/>
  <c r="H8" i="51"/>
  <c r="G16" i="47"/>
  <c r="K11" i="47"/>
  <c r="H15" i="47"/>
  <c r="H14" i="47"/>
  <c r="H13" i="47"/>
  <c r="H12" i="47"/>
  <c r="I14" i="47"/>
  <c r="K14" i="47" s="1"/>
  <c r="E10" i="47"/>
  <c r="G10" i="47" s="1"/>
  <c r="K10" i="47" s="1"/>
  <c r="E9" i="47"/>
  <c r="G9" i="47" s="1"/>
  <c r="K9" i="47" s="1"/>
  <c r="G11" i="47"/>
  <c r="E18" i="50"/>
  <c r="G11" i="50"/>
  <c r="K11" i="50" s="1"/>
  <c r="I12" i="50"/>
  <c r="K12" i="50" s="1"/>
  <c r="G12" i="50"/>
  <c r="H18" i="50"/>
  <c r="H16" i="50"/>
  <c r="H15" i="50"/>
  <c r="H14" i="50"/>
  <c r="H13" i="50"/>
  <c r="E16" i="50"/>
  <c r="I15" i="50"/>
  <c r="K15" i="50" s="1"/>
  <c r="E14" i="50"/>
  <c r="E10" i="50"/>
  <c r="G10" i="50" s="1"/>
  <c r="K10" i="50" s="1"/>
  <c r="E9" i="50"/>
  <c r="G9" i="50" s="1"/>
  <c r="H6" i="50"/>
  <c r="H5" i="50"/>
  <c r="E6" i="50"/>
  <c r="E5" i="50"/>
  <c r="E7" i="45"/>
  <c r="G7" i="45" s="1"/>
  <c r="K7" i="45" s="1"/>
  <c r="G27" i="49"/>
  <c r="H6" i="49"/>
  <c r="H5" i="49"/>
  <c r="E6" i="49"/>
  <c r="I6" i="49" s="1"/>
  <c r="K6" i="49" s="1"/>
  <c r="E5" i="49"/>
  <c r="H16" i="48"/>
  <c r="H15" i="48"/>
  <c r="H14" i="48"/>
  <c r="H13" i="48"/>
  <c r="H12" i="48"/>
  <c r="I13" i="52" l="1"/>
  <c r="K13" i="52" s="1"/>
  <c r="K27" i="52" s="1"/>
  <c r="K9" i="52"/>
  <c r="I14" i="50"/>
  <c r="K14" i="50" s="1"/>
  <c r="I16" i="50"/>
  <c r="K16" i="50" s="1"/>
  <c r="I18" i="50"/>
  <c r="K18" i="50" s="1"/>
  <c r="K15" i="13"/>
  <c r="K10" i="13"/>
  <c r="K8" i="13"/>
  <c r="I11" i="59"/>
  <c r="K8" i="59"/>
  <c r="G5" i="59"/>
  <c r="I12" i="58"/>
  <c r="I6" i="58"/>
  <c r="K6" i="58" s="1"/>
  <c r="K5" i="58"/>
  <c r="K7" i="58" s="1"/>
  <c r="I13" i="58"/>
  <c r="K13" i="58" s="1"/>
  <c r="K12" i="58"/>
  <c r="K9" i="58"/>
  <c r="I22" i="57"/>
  <c r="K22" i="57" s="1"/>
  <c r="I16" i="57"/>
  <c r="K16" i="57" s="1"/>
  <c r="I23" i="57"/>
  <c r="K23" i="57" s="1"/>
  <c r="I24" i="57"/>
  <c r="K24" i="57" s="1"/>
  <c r="G25" i="57"/>
  <c r="I13" i="57"/>
  <c r="K13" i="57" s="1"/>
  <c r="I14" i="57"/>
  <c r="K14" i="57" s="1"/>
  <c r="I6" i="57"/>
  <c r="K6" i="57" s="1"/>
  <c r="K7" i="57" s="1"/>
  <c r="I15" i="57"/>
  <c r="K15" i="57" s="1"/>
  <c r="G17" i="57"/>
  <c r="I19" i="56"/>
  <c r="K13" i="56"/>
  <c r="K12" i="56"/>
  <c r="K11" i="56"/>
  <c r="I5" i="54"/>
  <c r="I22" i="54"/>
  <c r="K22" i="54" s="1"/>
  <c r="I21" i="54"/>
  <c r="G24" i="54"/>
  <c r="K17" i="54"/>
  <c r="K7" i="56"/>
  <c r="K15" i="56"/>
  <c r="I7" i="56"/>
  <c r="I27" i="56" s="1"/>
  <c r="G27" i="56"/>
  <c r="I13" i="55"/>
  <c r="K13" i="55" s="1"/>
  <c r="G15" i="55"/>
  <c r="G26" i="55" s="1"/>
  <c r="K9" i="55"/>
  <c r="K12" i="55"/>
  <c r="I7" i="55"/>
  <c r="I13" i="54"/>
  <c r="K13" i="54" s="1"/>
  <c r="I6" i="54"/>
  <c r="K6" i="54" s="1"/>
  <c r="I14" i="54"/>
  <c r="K14" i="54" s="1"/>
  <c r="I12" i="54"/>
  <c r="K12" i="54" s="1"/>
  <c r="I7" i="54"/>
  <c r="K5" i="54"/>
  <c r="K7" i="54" s="1"/>
  <c r="G15" i="54"/>
  <c r="K9" i="54"/>
  <c r="I5" i="53"/>
  <c r="I7" i="53" s="1"/>
  <c r="K5" i="52"/>
  <c r="K6" i="52"/>
  <c r="I14" i="51"/>
  <c r="K14" i="51" s="1"/>
  <c r="I15" i="51"/>
  <c r="K15" i="51" s="1"/>
  <c r="I13" i="51"/>
  <c r="I16" i="51" s="1"/>
  <c r="G5" i="51"/>
  <c r="K5" i="51" s="1"/>
  <c r="I9" i="51"/>
  <c r="K9" i="51" s="1"/>
  <c r="G7" i="51"/>
  <c r="K7" i="51" s="1"/>
  <c r="I8" i="51"/>
  <c r="I12" i="47"/>
  <c r="I13" i="47"/>
  <c r="K13" i="47" s="1"/>
  <c r="I15" i="47"/>
  <c r="K15" i="47" s="1"/>
  <c r="I13" i="50"/>
  <c r="K13" i="50" s="1"/>
  <c r="G19" i="50"/>
  <c r="G29" i="50" s="1"/>
  <c r="G9" i="13" s="1"/>
  <c r="K9" i="50"/>
  <c r="I5" i="49"/>
  <c r="I5" i="50"/>
  <c r="K5" i="50" s="1"/>
  <c r="I6" i="50"/>
  <c r="K6" i="50" s="1"/>
  <c r="I7" i="49"/>
  <c r="I27" i="49" s="1"/>
  <c r="K5" i="49"/>
  <c r="K7" i="49" s="1"/>
  <c r="I24" i="54" l="1"/>
  <c r="K24" i="54" s="1"/>
  <c r="I27" i="52"/>
  <c r="I11" i="13" s="1"/>
  <c r="K11" i="13" s="1"/>
  <c r="K19" i="50"/>
  <c r="K12" i="47"/>
  <c r="K16" i="47" s="1"/>
  <c r="K27" i="47" s="1"/>
  <c r="I16" i="47"/>
  <c r="I27" i="47" s="1"/>
  <c r="I6" i="13" s="1"/>
  <c r="G11" i="59"/>
  <c r="K5" i="59"/>
  <c r="K11" i="59"/>
  <c r="I16" i="58"/>
  <c r="I7" i="58"/>
  <c r="K17" i="57"/>
  <c r="I7" i="57"/>
  <c r="I25" i="57"/>
  <c r="I17" i="57"/>
  <c r="G26" i="54"/>
  <c r="I15" i="54"/>
  <c r="K21" i="54"/>
  <c r="I15" i="55"/>
  <c r="I26" i="55" s="1"/>
  <c r="K15" i="55"/>
  <c r="K26" i="55" s="1"/>
  <c r="K5" i="53"/>
  <c r="K7" i="52"/>
  <c r="K13" i="51"/>
  <c r="K16" i="51"/>
  <c r="G11" i="51"/>
  <c r="I11" i="51"/>
  <c r="K8" i="51"/>
  <c r="I19" i="50"/>
  <c r="K7" i="50"/>
  <c r="K29" i="50" s="1"/>
  <c r="I7" i="50"/>
  <c r="K27" i="49"/>
  <c r="K16" i="58" l="1"/>
  <c r="K26" i="58" s="1"/>
  <c r="I26" i="58"/>
  <c r="I17" i="13" s="1"/>
  <c r="K17" i="13" s="1"/>
  <c r="K25" i="57"/>
  <c r="K26" i="57" s="1"/>
  <c r="I26" i="57"/>
  <c r="I16" i="13" s="1"/>
  <c r="K16" i="13" s="1"/>
  <c r="I26" i="54"/>
  <c r="I13" i="13" s="1"/>
  <c r="K13" i="13" s="1"/>
  <c r="K15" i="54"/>
  <c r="K26" i="54" s="1"/>
  <c r="I29" i="50"/>
  <c r="I9" i="13" s="1"/>
  <c r="K9" i="13" s="1"/>
  <c r="K11" i="51"/>
  <c r="K8" i="48" l="1"/>
  <c r="E15" i="48"/>
  <c r="I15" i="48" s="1"/>
  <c r="K15" i="48" s="1"/>
  <c r="H6" i="48"/>
  <c r="H5" i="48"/>
  <c r="H27" i="45"/>
  <c r="H6" i="47"/>
  <c r="H5" i="47"/>
  <c r="E6" i="47"/>
  <c r="I6" i="47" s="1"/>
  <c r="K6" i="47" s="1"/>
  <c r="E5" i="47"/>
  <c r="H10" i="45"/>
  <c r="H9" i="45"/>
  <c r="H8" i="45"/>
  <c r="K5" i="45"/>
  <c r="E9" i="45"/>
  <c r="E8" i="45"/>
  <c r="I8" i="45" s="1"/>
  <c r="K8" i="45" s="1"/>
  <c r="E6" i="45"/>
  <c r="I5" i="45"/>
  <c r="G5" i="45"/>
  <c r="G27" i="30"/>
  <c r="H15" i="30"/>
  <c r="H14" i="30"/>
  <c r="H13" i="30"/>
  <c r="H7" i="30"/>
  <c r="H6" i="30"/>
  <c r="K11" i="30"/>
  <c r="K9" i="30"/>
  <c r="E9" i="30"/>
  <c r="E11" i="30" s="1"/>
  <c r="G11" i="30" s="1"/>
  <c r="E7" i="30"/>
  <c r="I7" i="30" s="1"/>
  <c r="K7" i="30" s="1"/>
  <c r="E6" i="30"/>
  <c r="G6" i="45" l="1"/>
  <c r="E10" i="45"/>
  <c r="G13" i="45"/>
  <c r="K6" i="45"/>
  <c r="I5" i="48"/>
  <c r="K5" i="48" s="1"/>
  <c r="I6" i="48"/>
  <c r="K6" i="48" s="1"/>
  <c r="I12" i="48"/>
  <c r="E9" i="48"/>
  <c r="G9" i="48" s="1"/>
  <c r="I13" i="48"/>
  <c r="K13" i="48" s="1"/>
  <c r="E14" i="48"/>
  <c r="I14" i="48" s="1"/>
  <c r="E10" i="48"/>
  <c r="G10" i="48" s="1"/>
  <c r="K10" i="48" s="1"/>
  <c r="E11" i="48"/>
  <c r="I5" i="47"/>
  <c r="K5" i="47" s="1"/>
  <c r="I7" i="47"/>
  <c r="I9" i="45"/>
  <c r="K9" i="45" s="1"/>
  <c r="I10" i="45"/>
  <c r="K10" i="45" s="1"/>
  <c r="I6" i="30"/>
  <c r="K6" i="30" s="1"/>
  <c r="E15" i="30"/>
  <c r="I15" i="30" s="1"/>
  <c r="K15" i="30" s="1"/>
  <c r="E10" i="30"/>
  <c r="G10" i="30" s="1"/>
  <c r="K10" i="30" s="1"/>
  <c r="E12" i="30"/>
  <c r="E14" i="30"/>
  <c r="I14" i="30" s="1"/>
  <c r="K14" i="30" s="1"/>
  <c r="E13" i="30"/>
  <c r="I13" i="30" s="1"/>
  <c r="K13" i="30" s="1"/>
  <c r="I7" i="48" l="1"/>
  <c r="K7" i="48" s="1"/>
  <c r="K7" i="47"/>
  <c r="G27" i="45"/>
  <c r="I13" i="45"/>
  <c r="K13" i="45" s="1"/>
  <c r="K9" i="48"/>
  <c r="K12" i="48"/>
  <c r="G11" i="48"/>
  <c r="K11" i="48" s="1"/>
  <c r="I16" i="48"/>
  <c r="K16" i="48" s="1"/>
  <c r="K14" i="48"/>
  <c r="I8" i="30"/>
  <c r="K8" i="30" s="1"/>
  <c r="G12" i="30"/>
  <c r="K12" i="30" s="1"/>
  <c r="I16" i="30"/>
  <c r="I27" i="30" s="1"/>
  <c r="K27" i="30" s="1"/>
  <c r="K17" i="48" l="1"/>
  <c r="I17" i="48"/>
  <c r="I27" i="48" s="1"/>
  <c r="I27" i="45"/>
  <c r="K27" i="45"/>
  <c r="G17" i="48"/>
  <c r="G27" i="48" s="1"/>
  <c r="G7" i="13" s="1"/>
  <c r="G16" i="30"/>
  <c r="K16" i="30" s="1"/>
  <c r="K27" i="48" l="1"/>
  <c r="I7" i="13"/>
  <c r="K7" i="13" s="1"/>
  <c r="O52" i="27"/>
  <c r="O51" i="27"/>
  <c r="V50" i="27"/>
  <c r="V49" i="27"/>
  <c r="V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0" i="27"/>
  <c r="O9" i="27"/>
  <c r="O8" i="27"/>
  <c r="O7" i="27"/>
  <c r="O6" i="27"/>
  <c r="O5" i="27"/>
  <c r="O4" i="27"/>
  <c r="O3" i="27"/>
  <c r="J236" i="26"/>
  <c r="F236" i="26"/>
  <c r="I235" i="26"/>
  <c r="J235" i="26" s="1"/>
  <c r="G235" i="26"/>
  <c r="H235" i="26" s="1"/>
  <c r="E235" i="26"/>
  <c r="I234" i="26"/>
  <c r="J234" i="26" s="1"/>
  <c r="G234" i="26"/>
  <c r="E234" i="26"/>
  <c r="F234" i="26" s="1"/>
  <c r="I233" i="26"/>
  <c r="J233" i="26" s="1"/>
  <c r="G233" i="26"/>
  <c r="H233" i="26" s="1"/>
  <c r="E233" i="26"/>
  <c r="F233" i="26" s="1"/>
  <c r="I232" i="26"/>
  <c r="J232" i="26" s="1"/>
  <c r="G232" i="26"/>
  <c r="H232" i="26" s="1"/>
  <c r="E232" i="26"/>
  <c r="J228" i="26"/>
  <c r="H228" i="26"/>
  <c r="I227" i="26"/>
  <c r="J227" i="26" s="1"/>
  <c r="G227" i="26"/>
  <c r="H227" i="26" s="1"/>
  <c r="E227" i="26"/>
  <c r="H223" i="26"/>
  <c r="F223" i="26"/>
  <c r="I222" i="26"/>
  <c r="J222" i="26" s="1"/>
  <c r="G222" i="26"/>
  <c r="H222" i="26" s="1"/>
  <c r="E222" i="26"/>
  <c r="F222" i="26" s="1"/>
  <c r="I221" i="26"/>
  <c r="J221" i="26" s="1"/>
  <c r="G221" i="26"/>
  <c r="H221" i="26" s="1"/>
  <c r="E221" i="26"/>
  <c r="I220" i="26"/>
  <c r="J220" i="26" s="1"/>
  <c r="G220" i="26"/>
  <c r="H220" i="26" s="1"/>
  <c r="E220" i="26"/>
  <c r="I219" i="26"/>
  <c r="J219" i="26" s="1"/>
  <c r="G219" i="26"/>
  <c r="H219" i="26" s="1"/>
  <c r="E219" i="26"/>
  <c r="F219" i="26" s="1"/>
  <c r="J215" i="26"/>
  <c r="H215" i="26"/>
  <c r="I214" i="26"/>
  <c r="J214" i="26" s="1"/>
  <c r="G214" i="26"/>
  <c r="H214" i="26" s="1"/>
  <c r="H216" i="26" s="1"/>
  <c r="E214" i="26"/>
  <c r="F214" i="26" s="1"/>
  <c r="H210" i="26"/>
  <c r="F210" i="26"/>
  <c r="I209" i="26"/>
  <c r="J209" i="26" s="1"/>
  <c r="G209" i="26"/>
  <c r="H209" i="26" s="1"/>
  <c r="E209" i="26"/>
  <c r="I208" i="26"/>
  <c r="J208" i="26" s="1"/>
  <c r="G208" i="26"/>
  <c r="H208" i="26" s="1"/>
  <c r="E208" i="26"/>
  <c r="I207" i="26"/>
  <c r="J207" i="26" s="1"/>
  <c r="G207" i="26"/>
  <c r="H207" i="26" s="1"/>
  <c r="E207" i="26"/>
  <c r="I206" i="26"/>
  <c r="G206" i="26"/>
  <c r="H206" i="26" s="1"/>
  <c r="E206" i="26"/>
  <c r="F206" i="26" s="1"/>
  <c r="I205" i="26"/>
  <c r="J205" i="26" s="1"/>
  <c r="G205" i="26"/>
  <c r="H205" i="26" s="1"/>
  <c r="E205" i="26"/>
  <c r="I204" i="26"/>
  <c r="J204" i="26" s="1"/>
  <c r="G204" i="26"/>
  <c r="H204" i="26" s="1"/>
  <c r="E204" i="26"/>
  <c r="I200" i="26"/>
  <c r="J200" i="26" s="1"/>
  <c r="J201" i="26" s="1"/>
  <c r="G200" i="26"/>
  <c r="H200" i="26" s="1"/>
  <c r="E200" i="26"/>
  <c r="H196" i="26"/>
  <c r="F196" i="26"/>
  <c r="I195" i="26"/>
  <c r="J195" i="26" s="1"/>
  <c r="G195" i="26"/>
  <c r="H195" i="26" s="1"/>
  <c r="E195" i="26"/>
  <c r="I194" i="26"/>
  <c r="J194" i="26" s="1"/>
  <c r="G194" i="26"/>
  <c r="H194" i="26" s="1"/>
  <c r="I196" i="26" s="1"/>
  <c r="E194" i="26"/>
  <c r="J190" i="26"/>
  <c r="F190" i="26"/>
  <c r="I189" i="26"/>
  <c r="J189" i="26" s="1"/>
  <c r="G189" i="26"/>
  <c r="H189" i="26" s="1"/>
  <c r="E189" i="26"/>
  <c r="I188" i="26"/>
  <c r="J188" i="26" s="1"/>
  <c r="G188" i="26"/>
  <c r="H188" i="26" s="1"/>
  <c r="E188" i="26"/>
  <c r="F188" i="26" s="1"/>
  <c r="I184" i="26"/>
  <c r="J184" i="26" s="1"/>
  <c r="G184" i="26"/>
  <c r="H184" i="26" s="1"/>
  <c r="E184" i="26"/>
  <c r="F184" i="26" s="1"/>
  <c r="I183" i="26"/>
  <c r="J183" i="26" s="1"/>
  <c r="G183" i="26"/>
  <c r="H183" i="26" s="1"/>
  <c r="E183" i="26"/>
  <c r="F183" i="26" s="1"/>
  <c r="L183" i="26" s="1"/>
  <c r="I182" i="26"/>
  <c r="J182" i="26" s="1"/>
  <c r="J185" i="26" s="1"/>
  <c r="G182" i="26"/>
  <c r="H182" i="26" s="1"/>
  <c r="E182" i="26"/>
  <c r="F182" i="26" s="1"/>
  <c r="F185" i="26" s="1"/>
  <c r="I178" i="26"/>
  <c r="J178" i="26" s="1"/>
  <c r="G178" i="26"/>
  <c r="H178" i="26" s="1"/>
  <c r="E178" i="26"/>
  <c r="F178" i="26" s="1"/>
  <c r="I177" i="26"/>
  <c r="J177" i="26" s="1"/>
  <c r="G177" i="26"/>
  <c r="H177" i="26" s="1"/>
  <c r="E177" i="26"/>
  <c r="F177" i="26" s="1"/>
  <c r="I173" i="26"/>
  <c r="J173" i="26" s="1"/>
  <c r="G173" i="26"/>
  <c r="H173" i="26" s="1"/>
  <c r="E173" i="26"/>
  <c r="F173" i="26" s="1"/>
  <c r="I172" i="26"/>
  <c r="G172" i="26"/>
  <c r="H172" i="26" s="1"/>
  <c r="E172" i="26"/>
  <c r="F172" i="26" s="1"/>
  <c r="I171" i="26"/>
  <c r="J171" i="26" s="1"/>
  <c r="G171" i="26"/>
  <c r="H171" i="26" s="1"/>
  <c r="E171" i="26"/>
  <c r="H167" i="26"/>
  <c r="F167" i="26"/>
  <c r="I166" i="26"/>
  <c r="J166" i="26" s="1"/>
  <c r="G166" i="26"/>
  <c r="H166" i="26" s="1"/>
  <c r="E166" i="26"/>
  <c r="I165" i="26"/>
  <c r="J165" i="26" s="1"/>
  <c r="G165" i="26"/>
  <c r="H165" i="26" s="1"/>
  <c r="E165" i="26"/>
  <c r="I161" i="26"/>
  <c r="G161" i="26"/>
  <c r="H161" i="26" s="1"/>
  <c r="E161" i="26"/>
  <c r="F161" i="26" s="1"/>
  <c r="I160" i="26"/>
  <c r="J160" i="26" s="1"/>
  <c r="G160" i="26"/>
  <c r="H160" i="26" s="1"/>
  <c r="E160" i="26"/>
  <c r="F160" i="26" s="1"/>
  <c r="I156" i="26"/>
  <c r="J156" i="26" s="1"/>
  <c r="G156" i="26"/>
  <c r="H156" i="26" s="1"/>
  <c r="E156" i="26"/>
  <c r="F156" i="26" s="1"/>
  <c r="H155" i="26"/>
  <c r="F155" i="26"/>
  <c r="I154" i="26"/>
  <c r="J154" i="26" s="1"/>
  <c r="G154" i="26"/>
  <c r="H154" i="26" s="1"/>
  <c r="E154" i="26"/>
  <c r="F154" i="26" s="1"/>
  <c r="I153" i="26"/>
  <c r="G153" i="26"/>
  <c r="H153" i="26" s="1"/>
  <c r="E153" i="26"/>
  <c r="F153" i="26" s="1"/>
  <c r="I149" i="26"/>
  <c r="J149" i="26" s="1"/>
  <c r="G149" i="26"/>
  <c r="H149" i="26" s="1"/>
  <c r="E149" i="26"/>
  <c r="F149" i="26" s="1"/>
  <c r="I148" i="26"/>
  <c r="J148" i="26" s="1"/>
  <c r="G148" i="26"/>
  <c r="E148" i="26"/>
  <c r="F148" i="26" s="1"/>
  <c r="H144" i="26"/>
  <c r="F144" i="26"/>
  <c r="I143" i="26"/>
  <c r="J143" i="26" s="1"/>
  <c r="G143" i="26"/>
  <c r="H143" i="26" s="1"/>
  <c r="E143" i="26"/>
  <c r="I142" i="26"/>
  <c r="J142" i="26" s="1"/>
  <c r="G142" i="26"/>
  <c r="H142" i="26" s="1"/>
  <c r="E142" i="26"/>
  <c r="H138" i="26"/>
  <c r="F138" i="26"/>
  <c r="I137" i="26"/>
  <c r="J137" i="26" s="1"/>
  <c r="G137" i="26"/>
  <c r="H137" i="26" s="1"/>
  <c r="E137" i="26"/>
  <c r="F137" i="26" s="1"/>
  <c r="I136" i="26"/>
  <c r="J136" i="26" s="1"/>
  <c r="G136" i="26"/>
  <c r="H136" i="26" s="1"/>
  <c r="E136" i="26"/>
  <c r="F136" i="26" s="1"/>
  <c r="I132" i="26"/>
  <c r="J132" i="26" s="1"/>
  <c r="G132" i="26"/>
  <c r="E132" i="26"/>
  <c r="F132" i="26" s="1"/>
  <c r="I131" i="26"/>
  <c r="J131" i="26" s="1"/>
  <c r="G131" i="26"/>
  <c r="H131" i="26" s="1"/>
  <c r="E131" i="26"/>
  <c r="I130" i="26"/>
  <c r="J130" i="26" s="1"/>
  <c r="G130" i="26"/>
  <c r="H130" i="26" s="1"/>
  <c r="E130" i="26"/>
  <c r="K130" i="26" s="1"/>
  <c r="I126" i="26"/>
  <c r="J126" i="26" s="1"/>
  <c r="G126" i="26"/>
  <c r="H126" i="26" s="1"/>
  <c r="E126" i="26"/>
  <c r="F126" i="26" s="1"/>
  <c r="I125" i="26"/>
  <c r="J125" i="26" s="1"/>
  <c r="G125" i="26"/>
  <c r="H125" i="26" s="1"/>
  <c r="E125" i="26"/>
  <c r="F125" i="26" s="1"/>
  <c r="J121" i="26"/>
  <c r="H121" i="26"/>
  <c r="I120" i="26"/>
  <c r="J120" i="26" s="1"/>
  <c r="J122" i="26" s="1"/>
  <c r="G120" i="26"/>
  <c r="H120" i="26" s="1"/>
  <c r="E120" i="26"/>
  <c r="F120" i="26" s="1"/>
  <c r="E121" i="26" s="1"/>
  <c r="H116" i="26"/>
  <c r="F116" i="26"/>
  <c r="I115" i="26"/>
  <c r="J115" i="26" s="1"/>
  <c r="G115" i="26"/>
  <c r="H115" i="26" s="1"/>
  <c r="E115" i="26"/>
  <c r="I114" i="26"/>
  <c r="J114" i="26" s="1"/>
  <c r="G114" i="26"/>
  <c r="H114" i="26" s="1"/>
  <c r="E114" i="26"/>
  <c r="I110" i="26"/>
  <c r="J110" i="26" s="1"/>
  <c r="G110" i="26"/>
  <c r="H110" i="26" s="1"/>
  <c r="E110" i="26"/>
  <c r="I109" i="26"/>
  <c r="J109" i="26" s="1"/>
  <c r="G109" i="26"/>
  <c r="H109" i="26" s="1"/>
  <c r="E109" i="26"/>
  <c r="H105" i="26"/>
  <c r="F105" i="26"/>
  <c r="I104" i="26"/>
  <c r="J104" i="26" s="1"/>
  <c r="G104" i="26"/>
  <c r="H104" i="26" s="1"/>
  <c r="E104" i="26"/>
  <c r="I103" i="26"/>
  <c r="J103" i="26" s="1"/>
  <c r="G103" i="26"/>
  <c r="H103" i="26" s="1"/>
  <c r="E103" i="26"/>
  <c r="F103" i="26" s="1"/>
  <c r="I99" i="26"/>
  <c r="J99" i="26" s="1"/>
  <c r="G99" i="26"/>
  <c r="H99" i="26" s="1"/>
  <c r="E99" i="26"/>
  <c r="F99" i="26" s="1"/>
  <c r="I98" i="26"/>
  <c r="J98" i="26" s="1"/>
  <c r="G98" i="26"/>
  <c r="H98" i="26" s="1"/>
  <c r="E98" i="26"/>
  <c r="F98" i="26" s="1"/>
  <c r="I94" i="26"/>
  <c r="J94" i="26" s="1"/>
  <c r="G94" i="26"/>
  <c r="H94" i="26" s="1"/>
  <c r="E94" i="26"/>
  <c r="F94" i="26" s="1"/>
  <c r="I93" i="26"/>
  <c r="J93" i="26" s="1"/>
  <c r="G93" i="26"/>
  <c r="H93" i="26" s="1"/>
  <c r="E93" i="26"/>
  <c r="F93" i="26" s="1"/>
  <c r="I89" i="26"/>
  <c r="J89" i="26" s="1"/>
  <c r="G89" i="26"/>
  <c r="H89" i="26" s="1"/>
  <c r="E89" i="26"/>
  <c r="I88" i="26"/>
  <c r="J88" i="26" s="1"/>
  <c r="G88" i="26"/>
  <c r="E88" i="26"/>
  <c r="F88" i="26" s="1"/>
  <c r="I84" i="26"/>
  <c r="J84" i="26" s="1"/>
  <c r="G84" i="26"/>
  <c r="H84" i="26" s="1"/>
  <c r="E84" i="26"/>
  <c r="I83" i="26"/>
  <c r="J83" i="26" s="1"/>
  <c r="G83" i="26"/>
  <c r="H83" i="26" s="1"/>
  <c r="E83" i="26"/>
  <c r="K83" i="26" s="1"/>
  <c r="I82" i="26"/>
  <c r="J82" i="26" s="1"/>
  <c r="G82" i="26"/>
  <c r="H82" i="26" s="1"/>
  <c r="E82" i="26"/>
  <c r="I78" i="26"/>
  <c r="G78" i="26"/>
  <c r="H78" i="26" s="1"/>
  <c r="E78" i="26"/>
  <c r="F78" i="26" s="1"/>
  <c r="I77" i="26"/>
  <c r="J77" i="26" s="1"/>
  <c r="G77" i="26"/>
  <c r="H77" i="26" s="1"/>
  <c r="E77" i="26"/>
  <c r="F77" i="26" s="1"/>
  <c r="H73" i="26"/>
  <c r="F73" i="26"/>
  <c r="I72" i="26"/>
  <c r="J72" i="26" s="1"/>
  <c r="G72" i="26"/>
  <c r="H72" i="26" s="1"/>
  <c r="I73" i="26" s="1"/>
  <c r="E72" i="26"/>
  <c r="H68" i="26"/>
  <c r="F68" i="26"/>
  <c r="I67" i="26"/>
  <c r="J67" i="26" s="1"/>
  <c r="G67" i="26"/>
  <c r="H67" i="26" s="1"/>
  <c r="E67" i="26"/>
  <c r="F67" i="26" s="1"/>
  <c r="I66" i="26"/>
  <c r="J66" i="26" s="1"/>
  <c r="G66" i="26"/>
  <c r="H66" i="26" s="1"/>
  <c r="E66" i="26"/>
  <c r="F66" i="26" s="1"/>
  <c r="I62" i="26"/>
  <c r="J62" i="26" s="1"/>
  <c r="G62" i="26"/>
  <c r="H62" i="26" s="1"/>
  <c r="E62" i="26"/>
  <c r="F62" i="26" s="1"/>
  <c r="I61" i="26"/>
  <c r="J61" i="26" s="1"/>
  <c r="G61" i="26"/>
  <c r="H61" i="26" s="1"/>
  <c r="E61" i="26"/>
  <c r="F61" i="26" s="1"/>
  <c r="I57" i="26"/>
  <c r="G57" i="26"/>
  <c r="H57" i="26" s="1"/>
  <c r="H58" i="26" s="1"/>
  <c r="E57" i="26"/>
  <c r="F57" i="26" s="1"/>
  <c r="I53" i="26"/>
  <c r="G53" i="26"/>
  <c r="H53" i="26" s="1"/>
  <c r="E53" i="26"/>
  <c r="F53" i="26" s="1"/>
  <c r="I52" i="26"/>
  <c r="G52" i="26"/>
  <c r="H52" i="26" s="1"/>
  <c r="E52" i="26"/>
  <c r="F52" i="26" s="1"/>
  <c r="I48" i="26"/>
  <c r="J48" i="26" s="1"/>
  <c r="G48" i="26"/>
  <c r="H48" i="26" s="1"/>
  <c r="E48" i="26"/>
  <c r="I47" i="26"/>
  <c r="J47" i="26" s="1"/>
  <c r="G47" i="26"/>
  <c r="H47" i="26" s="1"/>
  <c r="E47" i="26"/>
  <c r="F47" i="26" s="1"/>
  <c r="I43" i="26"/>
  <c r="G43" i="26"/>
  <c r="H43" i="26" s="1"/>
  <c r="H44" i="26" s="1"/>
  <c r="E43" i="26"/>
  <c r="F43" i="26" s="1"/>
  <c r="H39" i="26"/>
  <c r="F39" i="26"/>
  <c r="I38" i="26"/>
  <c r="J38" i="26" s="1"/>
  <c r="G38" i="26"/>
  <c r="H38" i="26" s="1"/>
  <c r="E38" i="26"/>
  <c r="I37" i="26"/>
  <c r="J37" i="26" s="1"/>
  <c r="G37" i="26"/>
  <c r="H37" i="26" s="1"/>
  <c r="E37" i="26"/>
  <c r="F37" i="26" s="1"/>
  <c r="I33" i="26"/>
  <c r="J33" i="26" s="1"/>
  <c r="G33" i="26"/>
  <c r="H33" i="26" s="1"/>
  <c r="E33" i="26"/>
  <c r="F33" i="26" s="1"/>
  <c r="I32" i="26"/>
  <c r="J32" i="26" s="1"/>
  <c r="G32" i="26"/>
  <c r="E32" i="26"/>
  <c r="F32" i="26" s="1"/>
  <c r="I28" i="26"/>
  <c r="J28" i="26" s="1"/>
  <c r="G28" i="26"/>
  <c r="H28" i="26" s="1"/>
  <c r="E28" i="26"/>
  <c r="F28" i="26" s="1"/>
  <c r="L28" i="26" s="1"/>
  <c r="I27" i="26"/>
  <c r="J27" i="26" s="1"/>
  <c r="J29" i="26" s="1"/>
  <c r="G27" i="26"/>
  <c r="H27" i="26" s="1"/>
  <c r="E27" i="26"/>
  <c r="F27" i="26" s="1"/>
  <c r="I23" i="26"/>
  <c r="J23" i="26" s="1"/>
  <c r="G23" i="26"/>
  <c r="H23" i="26" s="1"/>
  <c r="E23" i="26"/>
  <c r="F23" i="26" s="1"/>
  <c r="I22" i="26"/>
  <c r="J22" i="26" s="1"/>
  <c r="G22" i="26"/>
  <c r="H22" i="26" s="1"/>
  <c r="E22" i="26"/>
  <c r="F22" i="26" s="1"/>
  <c r="I17" i="26"/>
  <c r="J17" i="26" s="1"/>
  <c r="G17" i="26"/>
  <c r="H17" i="26" s="1"/>
  <c r="E17" i="26"/>
  <c r="F17" i="26" s="1"/>
  <c r="H16" i="26"/>
  <c r="F16" i="26"/>
  <c r="I15" i="26"/>
  <c r="J15" i="26" s="1"/>
  <c r="G15" i="26"/>
  <c r="E15" i="26"/>
  <c r="F15" i="26" s="1"/>
  <c r="I14" i="26"/>
  <c r="J14" i="26" s="1"/>
  <c r="G14" i="26"/>
  <c r="H14" i="26" s="1"/>
  <c r="E14" i="26"/>
  <c r="F14" i="26" s="1"/>
  <c r="I13" i="26"/>
  <c r="J13" i="26" s="1"/>
  <c r="G13" i="26"/>
  <c r="H13" i="26" s="1"/>
  <c r="E13" i="26"/>
  <c r="F13" i="26" s="1"/>
  <c r="I12" i="26"/>
  <c r="J12" i="26" s="1"/>
  <c r="G12" i="26"/>
  <c r="H12" i="26" s="1"/>
  <c r="E12" i="26"/>
  <c r="I11" i="26"/>
  <c r="J11" i="26" s="1"/>
  <c r="G11" i="26"/>
  <c r="H11" i="26" s="1"/>
  <c r="E11" i="26"/>
  <c r="I10" i="26"/>
  <c r="J10" i="26" s="1"/>
  <c r="G10" i="26"/>
  <c r="H10" i="26" s="1"/>
  <c r="E10" i="26"/>
  <c r="F10" i="26" s="1"/>
  <c r="L10" i="26" s="1"/>
  <c r="I9" i="26"/>
  <c r="J9" i="26" s="1"/>
  <c r="G9" i="26"/>
  <c r="H9" i="26" s="1"/>
  <c r="E9" i="26"/>
  <c r="F9" i="26" s="1"/>
  <c r="I8" i="26"/>
  <c r="J8" i="26" s="1"/>
  <c r="G8" i="26"/>
  <c r="H8" i="26" s="1"/>
  <c r="E8" i="26"/>
  <c r="I7" i="26"/>
  <c r="J7" i="26" s="1"/>
  <c r="G7" i="26"/>
  <c r="H7" i="26" s="1"/>
  <c r="E7" i="26"/>
  <c r="I6" i="26"/>
  <c r="J6" i="26" s="1"/>
  <c r="G6" i="26"/>
  <c r="H6" i="26" s="1"/>
  <c r="E6" i="26"/>
  <c r="F6" i="26" s="1"/>
  <c r="I5" i="26"/>
  <c r="J5" i="26" s="1"/>
  <c r="G5" i="26"/>
  <c r="H5" i="26" s="1"/>
  <c r="E5" i="26"/>
  <c r="F5" i="26" s="1"/>
  <c r="I4" i="26"/>
  <c r="J4" i="26" s="1"/>
  <c r="G4" i="26"/>
  <c r="H4" i="26" s="1"/>
  <c r="E4" i="26"/>
  <c r="I3" i="26"/>
  <c r="J3" i="26" s="1"/>
  <c r="G3" i="26"/>
  <c r="H3" i="26" s="1"/>
  <c r="E3" i="26"/>
  <c r="K166" i="26" l="1"/>
  <c r="K104" i="26"/>
  <c r="L154" i="26"/>
  <c r="K204" i="26"/>
  <c r="J90" i="26"/>
  <c r="K110" i="26"/>
  <c r="K220" i="26"/>
  <c r="K194" i="26"/>
  <c r="K3" i="26"/>
  <c r="K82" i="26"/>
  <c r="H85" i="26"/>
  <c r="K114" i="26"/>
  <c r="K227" i="26"/>
  <c r="H63" i="26"/>
  <c r="I167" i="26"/>
  <c r="J167" i="26" s="1"/>
  <c r="J168" i="26" s="1"/>
  <c r="H162" i="26"/>
  <c r="H229" i="26"/>
  <c r="J34" i="26"/>
  <c r="K207" i="26"/>
  <c r="K89" i="26"/>
  <c r="K52" i="26"/>
  <c r="H95" i="26"/>
  <c r="K143" i="26"/>
  <c r="L94" i="26"/>
  <c r="H54" i="26"/>
  <c r="L17" i="26"/>
  <c r="L47" i="26"/>
  <c r="J150" i="26"/>
  <c r="L182" i="26"/>
  <c r="K206" i="26"/>
  <c r="H74" i="26"/>
  <c r="F127" i="26"/>
  <c r="K232" i="26"/>
  <c r="K11" i="26"/>
  <c r="K209" i="26"/>
  <c r="H174" i="26"/>
  <c r="K32" i="26"/>
  <c r="J52" i="26"/>
  <c r="K4" i="26"/>
  <c r="L14" i="26"/>
  <c r="K57" i="26"/>
  <c r="L219" i="26"/>
  <c r="K37" i="26"/>
  <c r="F227" i="26"/>
  <c r="L227" i="26" s="1"/>
  <c r="F63" i="26"/>
  <c r="K84" i="26"/>
  <c r="H111" i="26"/>
  <c r="K132" i="26"/>
  <c r="K200" i="26"/>
  <c r="H211" i="26"/>
  <c r="I155" i="26"/>
  <c r="J155" i="26" s="1"/>
  <c r="L155" i="26" s="1"/>
  <c r="H157" i="26"/>
  <c r="J85" i="26"/>
  <c r="L6" i="26"/>
  <c r="J111" i="26"/>
  <c r="K221" i="26"/>
  <c r="K38" i="26"/>
  <c r="H122" i="26"/>
  <c r="L156" i="26"/>
  <c r="K8" i="26"/>
  <c r="F38" i="26"/>
  <c r="J63" i="26"/>
  <c r="L173" i="26"/>
  <c r="J191" i="26"/>
  <c r="K43" i="26"/>
  <c r="H24" i="26"/>
  <c r="H49" i="26"/>
  <c r="K165" i="26"/>
  <c r="L178" i="26"/>
  <c r="K10" i="26"/>
  <c r="L67" i="26"/>
  <c r="K148" i="26"/>
  <c r="J229" i="26"/>
  <c r="F29" i="26"/>
  <c r="K48" i="26"/>
  <c r="K126" i="26"/>
  <c r="K22" i="26"/>
  <c r="K67" i="26"/>
  <c r="F166" i="26"/>
  <c r="L166" i="26" s="1"/>
  <c r="K149" i="26"/>
  <c r="K103" i="26"/>
  <c r="K125" i="26"/>
  <c r="K72" i="26"/>
  <c r="J133" i="26"/>
  <c r="F200" i="26"/>
  <c r="F201" i="26" s="1"/>
  <c r="J216" i="26"/>
  <c r="K177" i="26"/>
  <c r="L103" i="26"/>
  <c r="K222" i="26"/>
  <c r="I210" i="26"/>
  <c r="J210" i="26" s="1"/>
  <c r="L210" i="26" s="1"/>
  <c r="K62" i="26"/>
  <c r="H132" i="26"/>
  <c r="H133" i="26" s="1"/>
  <c r="F204" i="26"/>
  <c r="L204" i="26" s="1"/>
  <c r="K14" i="26"/>
  <c r="K136" i="26"/>
  <c r="K184" i="26"/>
  <c r="L184" i="26"/>
  <c r="K53" i="26"/>
  <c r="K6" i="26"/>
  <c r="K154" i="26"/>
  <c r="L62" i="26"/>
  <c r="H40" i="26"/>
  <c r="H79" i="26"/>
  <c r="H100" i="26"/>
  <c r="L137" i="26"/>
  <c r="J206" i="26"/>
  <c r="L206" i="26" s="1"/>
  <c r="F179" i="26"/>
  <c r="F54" i="26"/>
  <c r="K7" i="26"/>
  <c r="K15" i="26"/>
  <c r="J100" i="26"/>
  <c r="K120" i="26"/>
  <c r="G190" i="26"/>
  <c r="F24" i="26"/>
  <c r="L23" i="26"/>
  <c r="E215" i="26"/>
  <c r="L214" i="26"/>
  <c r="H19" i="26"/>
  <c r="H117" i="26"/>
  <c r="I116" i="26"/>
  <c r="K73" i="26"/>
  <c r="J73" i="26"/>
  <c r="J74" i="26" s="1"/>
  <c r="L33" i="26"/>
  <c r="K66" i="26"/>
  <c r="F100" i="26"/>
  <c r="L98" i="26"/>
  <c r="H145" i="26"/>
  <c r="L222" i="26"/>
  <c r="F114" i="26"/>
  <c r="K115" i="26"/>
  <c r="F115" i="26"/>
  <c r="L115" i="26" s="1"/>
  <c r="F7" i="26"/>
  <c r="L7" i="26" s="1"/>
  <c r="H185" i="26"/>
  <c r="L185" i="26" s="1"/>
  <c r="K160" i="26"/>
  <c r="H15" i="26"/>
  <c r="I16" i="26" s="1"/>
  <c r="L188" i="26"/>
  <c r="K23" i="26"/>
  <c r="K214" i="26"/>
  <c r="F3" i="26"/>
  <c r="F58" i="26"/>
  <c r="K88" i="26"/>
  <c r="H88" i="26"/>
  <c r="H90" i="26" s="1"/>
  <c r="F104" i="26"/>
  <c r="L104" i="26" s="1"/>
  <c r="L149" i="26"/>
  <c r="K161" i="26"/>
  <c r="J161" i="26"/>
  <c r="L161" i="26" s="1"/>
  <c r="H179" i="26"/>
  <c r="L177" i="26"/>
  <c r="F83" i="26"/>
  <c r="L83" i="26" s="1"/>
  <c r="F84" i="26"/>
  <c r="L84" i="26" s="1"/>
  <c r="J179" i="26"/>
  <c r="J57" i="26"/>
  <c r="J58" i="26" s="1"/>
  <c r="H29" i="26"/>
  <c r="L27" i="26"/>
  <c r="F44" i="26"/>
  <c r="F139" i="26"/>
  <c r="L136" i="26"/>
  <c r="J53" i="26"/>
  <c r="L53" i="26" s="1"/>
  <c r="K121" i="26"/>
  <c r="F121" i="26"/>
  <c r="I138" i="26"/>
  <c r="H139" i="26"/>
  <c r="F150" i="26"/>
  <c r="L233" i="26"/>
  <c r="L93" i="26"/>
  <c r="F95" i="26"/>
  <c r="K233" i="26"/>
  <c r="F69" i="26"/>
  <c r="L66" i="26"/>
  <c r="J24" i="26"/>
  <c r="H69" i="26"/>
  <c r="I68" i="26"/>
  <c r="K178" i="26"/>
  <c r="F143" i="26"/>
  <c r="L143" i="26" s="1"/>
  <c r="J95" i="26"/>
  <c r="F157" i="26"/>
  <c r="K196" i="26"/>
  <c r="J196" i="26"/>
  <c r="J197" i="26" s="1"/>
  <c r="H201" i="26"/>
  <c r="L160" i="26"/>
  <c r="F162" i="26"/>
  <c r="F11" i="26"/>
  <c r="L11" i="26" s="1"/>
  <c r="F221" i="26"/>
  <c r="L221" i="26" s="1"/>
  <c r="H127" i="26"/>
  <c r="K195" i="26"/>
  <c r="F195" i="26"/>
  <c r="L195" i="26" s="1"/>
  <c r="K5" i="26"/>
  <c r="J127" i="26"/>
  <c r="K208" i="26"/>
  <c r="F208" i="26"/>
  <c r="L208" i="26" s="1"/>
  <c r="H224" i="26"/>
  <c r="J43" i="26"/>
  <c r="J44" i="26" s="1"/>
  <c r="F109" i="26"/>
  <c r="K109" i="26"/>
  <c r="K234" i="26"/>
  <c r="H234" i="26"/>
  <c r="L234" i="26" s="1"/>
  <c r="H32" i="26"/>
  <c r="H34" i="26" s="1"/>
  <c r="K47" i="26"/>
  <c r="K94" i="26"/>
  <c r="K142" i="26"/>
  <c r="K171" i="26"/>
  <c r="F171" i="26"/>
  <c r="I39" i="26"/>
  <c r="L37" i="26"/>
  <c r="L22" i="26"/>
  <c r="J172" i="26"/>
  <c r="L172" i="26" s="1"/>
  <c r="K172" i="26"/>
  <c r="I144" i="26"/>
  <c r="H197" i="26"/>
  <c r="L77" i="26"/>
  <c r="F79" i="26"/>
  <c r="J153" i="26"/>
  <c r="K153" i="26"/>
  <c r="K78" i="26"/>
  <c r="J78" i="26"/>
  <c r="J79" i="26" s="1"/>
  <c r="L125" i="26"/>
  <c r="F142" i="26"/>
  <c r="F34" i="26"/>
  <c r="F207" i="26"/>
  <c r="L207" i="26" s="1"/>
  <c r="J49" i="26"/>
  <c r="K33" i="26"/>
  <c r="L126" i="26"/>
  <c r="K188" i="26"/>
  <c r="J237" i="26"/>
  <c r="K12" i="26"/>
  <c r="K189" i="26"/>
  <c r="F189" i="26"/>
  <c r="L189" i="26" s="1"/>
  <c r="F12" i="26"/>
  <c r="L12" i="26" s="1"/>
  <c r="K77" i="26"/>
  <c r="K98" i="26"/>
  <c r="K27" i="26"/>
  <c r="F165" i="26"/>
  <c r="K182" i="26"/>
  <c r="F48" i="26"/>
  <c r="L48" i="26" s="1"/>
  <c r="I223" i="26"/>
  <c r="H168" i="26"/>
  <c r="L99" i="26"/>
  <c r="H148" i="26"/>
  <c r="H150" i="26" s="1"/>
  <c r="K219" i="26"/>
  <c r="K235" i="26"/>
  <c r="F235" i="26"/>
  <c r="L235" i="26" s="1"/>
  <c r="F130" i="26"/>
  <c r="K17" i="26"/>
  <c r="K183" i="26"/>
  <c r="K173" i="26"/>
  <c r="F72" i="26"/>
  <c r="F82" i="26"/>
  <c r="K99" i="26"/>
  <c r="F194" i="26"/>
  <c r="L13" i="26"/>
  <c r="F4" i="26"/>
  <c r="L4" i="26" s="1"/>
  <c r="K61" i="26"/>
  <c r="K9" i="26"/>
  <c r="L120" i="26"/>
  <c r="K131" i="26"/>
  <c r="F131" i="26"/>
  <c r="L131" i="26" s="1"/>
  <c r="K205" i="26"/>
  <c r="F110" i="26"/>
  <c r="L110" i="26" s="1"/>
  <c r="K28" i="26"/>
  <c r="F89" i="26"/>
  <c r="L89" i="26" s="1"/>
  <c r="K137" i="26"/>
  <c r="L9" i="26"/>
  <c r="F220" i="26"/>
  <c r="H106" i="26"/>
  <c r="I105" i="26"/>
  <c r="K156" i="26"/>
  <c r="F8" i="26"/>
  <c r="L8" i="26" s="1"/>
  <c r="K13" i="26"/>
  <c r="L61" i="26"/>
  <c r="L5" i="26"/>
  <c r="K93" i="26"/>
  <c r="F205" i="26"/>
  <c r="F209" i="26"/>
  <c r="L209" i="26" s="1"/>
  <c r="F232" i="26"/>
  <c r="L200" i="26" l="1"/>
  <c r="L78" i="26"/>
  <c r="L148" i="26"/>
  <c r="L201" i="26"/>
  <c r="K167" i="26"/>
  <c r="J54" i="26"/>
  <c r="L54" i="26" s="1"/>
  <c r="L52" i="26"/>
  <c r="E228" i="26"/>
  <c r="F228" i="26" s="1"/>
  <c r="K155" i="26"/>
  <c r="K210" i="26"/>
  <c r="L127" i="26"/>
  <c r="L63" i="26"/>
  <c r="J174" i="26"/>
  <c r="J211" i="26"/>
  <c r="L179" i="26"/>
  <c r="L100" i="26"/>
  <c r="L57" i="26"/>
  <c r="L167" i="26"/>
  <c r="L95" i="26"/>
  <c r="F90" i="26"/>
  <c r="L90" i="26" s="1"/>
  <c r="L38" i="26"/>
  <c r="F40" i="26"/>
  <c r="L29" i="26"/>
  <c r="L132" i="26"/>
  <c r="L34" i="26"/>
  <c r="L58" i="26"/>
  <c r="K223" i="26"/>
  <c r="J223" i="26"/>
  <c r="F168" i="26"/>
  <c r="L168" i="26" s="1"/>
  <c r="L165" i="26"/>
  <c r="F49" i="26"/>
  <c r="L49" i="26" s="1"/>
  <c r="L79" i="26"/>
  <c r="F19" i="26"/>
  <c r="L3" i="26"/>
  <c r="J116" i="26"/>
  <c r="K116" i="26"/>
  <c r="L73" i="26"/>
  <c r="L32" i="26"/>
  <c r="F197" i="26"/>
  <c r="L197" i="26" s="1"/>
  <c r="L194" i="26"/>
  <c r="L150" i="26"/>
  <c r="K105" i="26"/>
  <c r="J105" i="26"/>
  <c r="L196" i="26"/>
  <c r="G236" i="26"/>
  <c r="K68" i="26"/>
  <c r="J68" i="26"/>
  <c r="K138" i="26"/>
  <c r="J138" i="26"/>
  <c r="L44" i="26"/>
  <c r="F106" i="26"/>
  <c r="L220" i="26"/>
  <c r="F224" i="26"/>
  <c r="K16" i="26"/>
  <c r="J16" i="26"/>
  <c r="L24" i="26"/>
  <c r="F74" i="26"/>
  <c r="L74" i="26" s="1"/>
  <c r="L72" i="26"/>
  <c r="L130" i="26"/>
  <c r="F133" i="26"/>
  <c r="L133" i="26" s="1"/>
  <c r="J162" i="26"/>
  <c r="L162" i="26" s="1"/>
  <c r="L205" i="26"/>
  <c r="F211" i="26"/>
  <c r="F111" i="26"/>
  <c r="L111" i="26" s="1"/>
  <c r="L109" i="26"/>
  <c r="J157" i="26"/>
  <c r="L157" i="26" s="1"/>
  <c r="L43" i="26"/>
  <c r="J144" i="26"/>
  <c r="K144" i="26"/>
  <c r="L88" i="26"/>
  <c r="K215" i="26"/>
  <c r="F215" i="26"/>
  <c r="F85" i="26"/>
  <c r="L85" i="26" s="1"/>
  <c r="L82" i="26"/>
  <c r="F174" i="26"/>
  <c r="L171" i="26"/>
  <c r="L15" i="26"/>
  <c r="F237" i="26"/>
  <c r="L232" i="26"/>
  <c r="F145" i="26"/>
  <c r="L142" i="26"/>
  <c r="L121" i="26"/>
  <c r="F122" i="26"/>
  <c r="L122" i="26" s="1"/>
  <c r="F117" i="26"/>
  <c r="L114" i="26"/>
  <c r="L153" i="26"/>
  <c r="F191" i="26"/>
  <c r="J39" i="26"/>
  <c r="K39" i="26"/>
  <c r="K190" i="26"/>
  <c r="H190" i="26"/>
  <c r="K228" i="26" l="1"/>
  <c r="L211" i="26"/>
  <c r="L174" i="26"/>
  <c r="L39" i="26"/>
  <c r="J40" i="26"/>
  <c r="L40" i="26" s="1"/>
  <c r="J106" i="26"/>
  <c r="L105" i="26"/>
  <c r="J139" i="26"/>
  <c r="L139" i="26" s="1"/>
  <c r="L138" i="26"/>
  <c r="L223" i="26"/>
  <c r="J224" i="26"/>
  <c r="L224" i="26" s="1"/>
  <c r="L144" i="26"/>
  <c r="J145" i="26"/>
  <c r="L145" i="26" s="1"/>
  <c r="L16" i="26"/>
  <c r="J19" i="26"/>
  <c r="L19" i="26" s="1"/>
  <c r="L106" i="26"/>
  <c r="L228" i="26"/>
  <c r="F229" i="26"/>
  <c r="L229" i="26" s="1"/>
  <c r="L215" i="26"/>
  <c r="F216" i="26"/>
  <c r="L216" i="26" s="1"/>
  <c r="J69" i="26"/>
  <c r="L69" i="26" s="1"/>
  <c r="L68" i="26"/>
  <c r="K236" i="26"/>
  <c r="H236" i="26"/>
  <c r="L190" i="26"/>
  <c r="H191" i="26"/>
  <c r="L191" i="26" s="1"/>
  <c r="L116" i="26"/>
  <c r="J117" i="26"/>
  <c r="L117" i="26" s="1"/>
  <c r="L236" i="26" l="1"/>
  <c r="H237" i="26"/>
  <c r="L237" i="26" s="1"/>
  <c r="I21" i="13" l="1"/>
  <c r="E7" i="15" s="1"/>
  <c r="E9" i="15" l="1"/>
  <c r="E8" i="15"/>
  <c r="E10" i="15" s="1"/>
  <c r="E13" i="15" l="1"/>
  <c r="E12" i="15"/>
  <c r="G27" i="47"/>
  <c r="G6" i="13" s="1"/>
  <c r="K6" i="13" l="1"/>
  <c r="K21" i="13" s="1"/>
  <c r="G21" i="13"/>
  <c r="E4" i="15" s="1"/>
  <c r="E5" i="15" l="1"/>
  <c r="E6" i="15" s="1"/>
  <c r="E14" i="15" l="1"/>
  <c r="E15" i="15" s="1"/>
  <c r="E16" i="15" s="1"/>
  <c r="E18" i="15" s="1"/>
  <c r="E21" i="15" l="1"/>
  <c r="E22" i="15" s="1"/>
</calcChain>
</file>

<file path=xl/sharedStrings.xml><?xml version="1.0" encoding="utf-8"?>
<sst xmlns="http://schemas.openxmlformats.org/spreadsheetml/2006/main" count="4097" uniqueCount="839">
  <si>
    <t>ITEM :</t>
  </si>
  <si>
    <t>수 량</t>
  </si>
  <si>
    <t>조적공</t>
  </si>
  <si>
    <t>인</t>
  </si>
  <si>
    <t>보통인부</t>
  </si>
  <si>
    <t>식</t>
  </si>
  <si>
    <t>계</t>
  </si>
  <si>
    <t>품명</t>
    <phoneticPr fontId="3" type="noConversion"/>
  </si>
  <si>
    <t>규격</t>
    <phoneticPr fontId="3" type="noConversion"/>
  </si>
  <si>
    <t>단위</t>
    <phoneticPr fontId="3" type="noConversion"/>
  </si>
  <si>
    <t>재료비</t>
    <phoneticPr fontId="3" type="noConversion"/>
  </si>
  <si>
    <t>노무비</t>
    <phoneticPr fontId="3" type="noConversion"/>
  </si>
  <si>
    <t>합계</t>
    <phoneticPr fontId="3" type="noConversion"/>
  </si>
  <si>
    <t>비고</t>
  </si>
  <si>
    <t>단가</t>
    <phoneticPr fontId="3" type="noConversion"/>
  </si>
  <si>
    <t>금액</t>
    <phoneticPr fontId="3" type="noConversion"/>
  </si>
  <si>
    <t>M2</t>
  </si>
  <si>
    <t xml:space="preserve"> </t>
    <phoneticPr fontId="3" type="noConversion"/>
  </si>
  <si>
    <t>내장공</t>
  </si>
  <si>
    <t>공구손료</t>
  </si>
  <si>
    <t>1</t>
  </si>
  <si>
    <t>2</t>
  </si>
  <si>
    <t>번호</t>
  </si>
  <si>
    <t>직종명</t>
  </si>
  <si>
    <t>작업반장</t>
  </si>
  <si>
    <t xml:space="preserve">• 종전의 '수작업반장+작업반장' 통합 </t>
  </si>
  <si>
    <t>• 종전의 '선부+검조부+양생공+보통인부' 통합</t>
  </si>
  <si>
    <t>특별인부</t>
  </si>
  <si>
    <t>• 종전의 '갱부+특별인부' 통합</t>
  </si>
  <si>
    <t>조력공</t>
  </si>
  <si>
    <t>• 종전의 '조림인부+조력공' 통합</t>
  </si>
  <si>
    <t>*1005</t>
  </si>
  <si>
    <t>제도사</t>
  </si>
  <si>
    <t>비계공</t>
  </si>
  <si>
    <t>• 종전의 '특수비계공+비계공' 통합</t>
  </si>
  <si>
    <t>용접공</t>
  </si>
  <si>
    <t>• 종전의 '용접공(일반)+용접공(철도)' 통합</t>
  </si>
  <si>
    <t>• 종전의 '치장벽돌공+연돌공+조적공' 통합</t>
  </si>
  <si>
    <t>견출공</t>
  </si>
  <si>
    <t>건축목공</t>
  </si>
  <si>
    <t>창호공</t>
  </si>
  <si>
    <t>• 종전의 '창호목공+샷시공+셔터공' 통합</t>
  </si>
  <si>
    <t>유리공</t>
  </si>
  <si>
    <t>방수공</t>
  </si>
  <si>
    <t xml:space="preserve">• 종전의 '루핑공+방수공' 통합 </t>
  </si>
  <si>
    <t>미장공</t>
  </si>
  <si>
    <t xml:space="preserve">• 종전의 '미장공+온돌공' 통합 </t>
  </si>
  <si>
    <t>타일공</t>
  </si>
  <si>
    <t xml:space="preserve">• 종전의 '아스타일공+타일공' 통합 </t>
  </si>
  <si>
    <t>도장공</t>
  </si>
  <si>
    <t xml:space="preserve">• 종전의 '계령공+모래분사공+도장공' 통합 </t>
  </si>
  <si>
    <t>줄눈공</t>
  </si>
  <si>
    <t>판넬조립공</t>
  </si>
  <si>
    <t>배관공</t>
  </si>
  <si>
    <t>배관공(수도)</t>
  </si>
  <si>
    <t>위생공</t>
  </si>
  <si>
    <t>덕트공</t>
  </si>
  <si>
    <t xml:space="preserve">• 종전의 '함석공+덕트공' 통합 </t>
  </si>
  <si>
    <t>보온공</t>
  </si>
  <si>
    <t>화물차운전사</t>
  </si>
  <si>
    <t>• 종전의 '운전사(운반차)' 명칭 변경('10.1.1)</t>
  </si>
  <si>
    <t>*1050</t>
  </si>
  <si>
    <t>일반기계운전사</t>
  </si>
  <si>
    <t>• 종전의 '운전사(기계)' 명칭 변경('10.1.1)</t>
  </si>
  <si>
    <t>기계설비공</t>
  </si>
  <si>
    <t>• 종전의 '기계설치공+기계공' 통합</t>
  </si>
  <si>
    <t>내선전공</t>
  </si>
  <si>
    <t>배전전공</t>
  </si>
  <si>
    <t>통신내선공</t>
  </si>
  <si>
    <t>통신설비공</t>
  </si>
  <si>
    <t>통신관련기사</t>
  </si>
  <si>
    <t>*5002</t>
  </si>
  <si>
    <t>통신관련산업기사</t>
  </si>
  <si>
    <t>통신관련기능사</t>
  </si>
  <si>
    <t>전기공사기사</t>
  </si>
  <si>
    <t>코킹공</t>
  </si>
  <si>
    <t>㎡</t>
    <phoneticPr fontId="3" type="noConversion"/>
  </si>
  <si>
    <t>식</t>
    <phoneticPr fontId="3" type="noConversion"/>
  </si>
  <si>
    <t>접착제</t>
  </si>
  <si>
    <t>공 사 원 가 계 산 서</t>
  </si>
  <si>
    <t>금      액</t>
  </si>
  <si>
    <t/>
  </si>
  <si>
    <t>A1</t>
  </si>
  <si>
    <t>A2</t>
  </si>
  <si>
    <t>B1</t>
  </si>
  <si>
    <t>B2</t>
  </si>
  <si>
    <t>C4</t>
  </si>
  <si>
    <t>비        목</t>
  </si>
  <si>
    <t>구        성        비</t>
  </si>
  <si>
    <t>비      고</t>
  </si>
  <si>
    <t>순   공   사   원   가</t>
  </si>
  <si>
    <t>재   료   비</t>
  </si>
  <si>
    <t>직  접  재  료  비</t>
  </si>
  <si>
    <t>간  접  재  료  비</t>
  </si>
  <si>
    <t>AS</t>
  </si>
  <si>
    <t>[ 소          계 ]</t>
  </si>
  <si>
    <t>노   무   비</t>
  </si>
  <si>
    <t>직  접  노  무  비</t>
  </si>
  <si>
    <t>간  접  노  무  비</t>
  </si>
  <si>
    <t>BS</t>
  </si>
  <si>
    <t>C2</t>
  </si>
  <si>
    <t>경        비</t>
  </si>
  <si>
    <t>경              비</t>
  </si>
  <si>
    <t>산  재  보  험  료</t>
  </si>
  <si>
    <t>노무비 * 3.56%</t>
  </si>
  <si>
    <t>C5</t>
  </si>
  <si>
    <t>고  용  보  험  료</t>
  </si>
  <si>
    <t>노무비 * 1.01%</t>
  </si>
  <si>
    <t>CA</t>
  </si>
  <si>
    <t>산업안전보건관리비</t>
  </si>
  <si>
    <t>CS</t>
  </si>
  <si>
    <t>S1</t>
  </si>
  <si>
    <t>D1</t>
  </si>
  <si>
    <t>일  반  관  리  비</t>
  </si>
  <si>
    <t>D2</t>
  </si>
  <si>
    <t>이              윤</t>
  </si>
  <si>
    <t>D4</t>
  </si>
  <si>
    <t>폐기물  처리비</t>
  </si>
  <si>
    <t>D6</t>
  </si>
  <si>
    <t>D9</t>
  </si>
  <si>
    <t>공   급    가   액</t>
  </si>
  <si>
    <t>DB</t>
  </si>
  <si>
    <t>부  가  가  치  세</t>
  </si>
  <si>
    <t>공급가액 * 10%</t>
  </si>
  <si>
    <t>DH</t>
  </si>
  <si>
    <t>DL</t>
  </si>
  <si>
    <t>S2</t>
  </si>
  <si>
    <t>총   공   사    비</t>
  </si>
  <si>
    <t xml:space="preserve"> 공종별집계표</t>
    <phoneticPr fontId="3" type="noConversion"/>
  </si>
  <si>
    <t>도장공</t>
    <phoneticPr fontId="3" type="noConversion"/>
  </si>
  <si>
    <t>수성멀티페인트</t>
  </si>
  <si>
    <t>친환경</t>
    <phoneticPr fontId="3" type="noConversion"/>
  </si>
  <si>
    <t>M</t>
  </si>
  <si>
    <t>SET</t>
  </si>
  <si>
    <t>C-RUNNER</t>
  </si>
  <si>
    <t>65*40*0.8t</t>
  </si>
  <si>
    <t>5A6023AB8A4DACB72A2E58F07AF9BB70CED1AE</t>
  </si>
  <si>
    <t>F</t>
  </si>
  <si>
    <t>T</t>
  </si>
  <si>
    <t>C-STUD</t>
  </si>
  <si>
    <t>65*45*0.8t</t>
  </si>
  <si>
    <t>5A6023AB8A4DACB72A2E58F07AF9BB70CED1AF</t>
  </si>
  <si>
    <t>STUD-SPACER</t>
  </si>
  <si>
    <t>SP-65,75</t>
  </si>
  <si>
    <t>개</t>
  </si>
  <si>
    <t>5A6023AB8A4DACB72A2E58F07AF9BB70CED1AC</t>
  </si>
  <si>
    <t>CORNER BEAD</t>
  </si>
  <si>
    <t>40*40*0.5t</t>
  </si>
  <si>
    <t>5A6023AB8A4DACB72A2E58F07AF9BB70CED1AD</t>
  </si>
  <si>
    <t>힐티앙카</t>
  </si>
  <si>
    <t>NK-27</t>
  </si>
  <si>
    <t>5A6023AB8A4DACB72A2E58F07AF9BB70CED1AA</t>
  </si>
  <si>
    <t>Metal Screw</t>
  </si>
  <si>
    <t>#8, ∮4.2*13mm</t>
  </si>
  <si>
    <t>5A6033B08E0E3BAB262F5AF6319A0CCB95FBB8</t>
  </si>
  <si>
    <t>집성스크류</t>
  </si>
  <si>
    <t>φ4*32mm(1¼")</t>
  </si>
  <si>
    <t>5A6023AB8A4DACB72A2E58F07AF9BB70CED1AB</t>
  </si>
  <si>
    <t>φ4*44mm(1¾")</t>
  </si>
  <si>
    <t>5A6023AB8A4DACB72A2E58F07AF9BB70CED1A8</t>
  </si>
  <si>
    <t>조인트테이프</t>
  </si>
  <si>
    <t>7.5cm, 일반</t>
  </si>
  <si>
    <t>5A6023AB8A061D452F2750A7CA3F74788002B3</t>
  </si>
  <si>
    <t>퍼티,PUTTY</t>
  </si>
  <si>
    <t>집성보드용</t>
  </si>
  <si>
    <t>kg</t>
  </si>
  <si>
    <t>5A6033B38BAE916C222B5518140E2D5197C6FA</t>
  </si>
  <si>
    <t>철공</t>
  </si>
  <si>
    <t>일반공사 직종</t>
  </si>
  <si>
    <t>5D91A3CC854B797B2E2956BF3BE1B8ADB2764C</t>
  </si>
  <si>
    <t>5D91A3CC854B797B2E2956BF3BE1B8ADB275BE</t>
  </si>
  <si>
    <t>5D91A3CC854B797B2E2956BF3BE1B8ADB27647</t>
  </si>
  <si>
    <t>인력품의 1%</t>
  </si>
  <si>
    <t>5C5733518E170A8B23215FF60896001</t>
  </si>
  <si>
    <t>MDF 설치</t>
  </si>
  <si>
    <t>5D4E634C8DE02FB82327542B71C58D</t>
  </si>
  <si>
    <t>5D4E634C8DD7DDB72B23539D7D3A3E</t>
  </si>
  <si>
    <t xml:space="preserve"> [ 합          계 ]</t>
  </si>
  <si>
    <t>TOTAL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</si>
  <si>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</si>
  <si>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</si>
  <si>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</si>
  <si>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</si>
  <si>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</si>
  <si>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</si>
  <si>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</si>
  <si>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</si>
  <si>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</si>
  <si>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일위대가</t>
  </si>
  <si>
    <t>품목코드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</si>
  <si>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</si>
  <si>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</si>
  <si>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</si>
  <si>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</si>
  <si>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</si>
  <si>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</si>
  <si>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</si>
  <si>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</si>
  <si>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</si>
  <si>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</si>
  <si>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</si>
  <si>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</si>
  <si>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</si>
  <si>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</si>
  <si>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</si>
  <si>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</si>
  <si>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</si>
  <si>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</si>
  <si>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</si>
  <si>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</si>
  <si>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</si>
  <si>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</si>
  <si>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</si>
  <si>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</si>
  <si>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</si>
  <si>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</si>
  <si>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할증적용</t>
  </si>
  <si>
    <t>할증저장</t>
  </si>
  <si>
    <t>할증율</t>
  </si>
  <si>
    <t>HAL1</t>
  </si>
  <si>
    <t>HAL2</t>
  </si>
  <si>
    <t>HAL3</t>
  </si>
  <si>
    <t>자재구분</t>
  </si>
  <si>
    <t>일위대가+자재</t>
  </si>
  <si>
    <t>장비일위</t>
  </si>
  <si>
    <t>설정</t>
  </si>
  <si>
    <t>단  가</t>
  </si>
  <si>
    <t>금  액</t>
  </si>
  <si>
    <t>공통자재</t>
  </si>
  <si>
    <t>하드롱지</t>
  </si>
  <si>
    <t>5A72D32E8A713F9625255336CF9B0CBF732CFE</t>
  </si>
  <si>
    <t>합성풀</t>
  </si>
  <si>
    <t>합성풀, 건설용</t>
  </si>
  <si>
    <t>5A6033B38BAE916C222B51BDE32ED6DB9797DB</t>
  </si>
  <si>
    <t>벽체틀 설치</t>
  </si>
  <si>
    <t>5D4E03E587B2E1CC21235225E60772</t>
  </si>
  <si>
    <t>보통합판</t>
  </si>
  <si>
    <t>보통합판, 1급, 9.0*1220*2440mm</t>
  </si>
  <si>
    <t>5A4543CF87B11AA22A2C5226BC8E8E532E7968</t>
  </si>
  <si>
    <t>벽체합판 설치</t>
  </si>
  <si>
    <t>합판 별도</t>
  </si>
  <si>
    <t>5D4E634C8DB4FDE3242C5F0B8DFA5C</t>
  </si>
  <si>
    <t>수성페인트 롤러칠</t>
  </si>
  <si>
    <t>5D4E73B5867888332C265C862570D6</t>
  </si>
  <si>
    <t>간단</t>
  </si>
  <si>
    <t>5D91A3CC854B797B2E2956BF3BE1B8ADB27491</t>
  </si>
  <si>
    <t>비닐타일</t>
  </si>
  <si>
    <t>비닐타일, 3*450*450mm, 데코타일</t>
  </si>
  <si>
    <t>5A6023AB8A4DACA5232C55A2C971624DA4574F</t>
  </si>
  <si>
    <t>5D4E634E88CFE9C8272B58BB4C1737</t>
  </si>
  <si>
    <t>굽도리</t>
  </si>
  <si>
    <t>굽도리, 항균 100*3.2t</t>
  </si>
  <si>
    <t>5A6023AB8A4DACA5232C55A2C971624DA57B85</t>
  </si>
  <si>
    <t>고무접착제</t>
  </si>
  <si>
    <t>고무접착제, 건설용고무풀</t>
  </si>
  <si>
    <t>5A6033B38BAE916C222B54762C77F2AE003150</t>
  </si>
  <si>
    <t>5D4E634E888050562C27531C57D7BD</t>
  </si>
  <si>
    <t>중밀도섬유판</t>
  </si>
  <si>
    <t>중밀도섬유판, 9.0*1220*2440mm</t>
  </si>
  <si>
    <t>5A4543CF87B11AA22A2C50750C28E3A8FD4CCF</t>
  </si>
  <si>
    <t>5D4E634E888050562C27531C57D4E9</t>
  </si>
  <si>
    <t>아크릴페인트</t>
  </si>
  <si>
    <t>내,외벽용</t>
  </si>
  <si>
    <t>㎡</t>
  </si>
  <si>
    <t>5D4E73B586431CC827295D4AE8797C</t>
  </si>
  <si>
    <t>5D4E634C8DD7DDB72B23539D7D3FBD</t>
  </si>
  <si>
    <t>5D4E634C8DD7DDB72B23539D7D3FBD5A6023AB8A4DACB72A2E58F07AF9BB70CED1AE</t>
  </si>
  <si>
    <t>5D4E634C8DD7DDB72B23539D7D3FBD5A6023AB8A4DACB72A2E58F07AF9BB70CED1AF</t>
  </si>
  <si>
    <t>5D4E634C8DD7DDB72B23539D7D3FBD5A6023AB8A4DACB72A2E58F07AF9BB70CED1AC</t>
  </si>
  <si>
    <t>5D4E634C8DD7DDB72B23539D7D3FBD5A6023AB8A4DACB72A2E58F07AF9BB70CED1AD</t>
  </si>
  <si>
    <t>5D4E634C8DD7DDB72B23539D7D3FBD5A6023AB8A4DACB72A2E58F07AF9BB70CED1AA</t>
  </si>
  <si>
    <t>5D4E634C8DD7DDB72B23539D7D3FBD5A6033B08E0E3BAB262F5AF6319A0CCB95FBB8</t>
  </si>
  <si>
    <t>5D4E634C8DD7DDB72B23539D7D3FBD5A6023AB8A4DACB72A2E58F07AF9BB70CED1AB</t>
  </si>
  <si>
    <t>5D4E634C8DD7DDB72B23539D7D3FBD5A6023AB8A4DACB72A2E58F07AF9BB70CED1A8</t>
  </si>
  <si>
    <t>5D4E634C8DD7DDB72B23539D7D3FBD5A6023AB8A061D452F2750A7CA3F74788002B3</t>
  </si>
  <si>
    <t>5D4E634C8DD7DDB72B23539D7D3FBD5A6033B38BAE916C222B5518140E2D5197C6FA</t>
  </si>
  <si>
    <t>5D4E634C8DD7DDB72B23539D7D3FBD5D91A3CC854B797B2E2956BF3BE1B8ADB2764C</t>
  </si>
  <si>
    <t>5D4E634C8DD7DDB72B23539D7D3FBD5D91A3CC854B797B2E2956BF3BE1B8ADB275BE</t>
  </si>
  <si>
    <t>5D4E634C8DD7DDB72B23539D7D3FBD5D91A3CC854B797B2E2956BF3BE1B8ADB27647</t>
  </si>
  <si>
    <t>5D4E634C8DD7DDB72B23539D7D3FBD5C5733518E170A8B23215FF60896001</t>
  </si>
  <si>
    <t>인조광물섬유판 설치(공간넣기, 벽)</t>
  </si>
  <si>
    <t>5D4E634B83AAF2ED2028530518AD32</t>
  </si>
  <si>
    <t>5D4E634C8DD7DDB72B23539D7D3FBD5D4E634C8DE02FB82327542B71C58D</t>
  </si>
  <si>
    <t>각재</t>
  </si>
  <si>
    <t>각재, 외송</t>
  </si>
  <si>
    <t>재</t>
  </si>
  <si>
    <t>5A6023AB8A22E4682B28552E58ED31BA63529D</t>
  </si>
  <si>
    <t>자재 별도</t>
  </si>
  <si>
    <t>5D4E03E587B2C6E6242453A161B3F8</t>
  </si>
  <si>
    <t>MDF 설치    M2  건축 4-2-3   ( 호표 12 )</t>
  </si>
  <si>
    <t>5D4E634C8DE02FB82327542B71C58D5A4543CF87B11AA22A2C50750C28E3A8FD4CCF</t>
  </si>
  <si>
    <t>5D4E634C8DE02FB82327542B71C58D5D4E634C8DB4FDE3242C5F0B8DFA5C</t>
  </si>
  <si>
    <t>벽체합판 설치  T12 합판  M2     ( 호표 13 )</t>
  </si>
  <si>
    <t>5D4E634C8DB4FDE3242C5F0B8CD3B2</t>
  </si>
  <si>
    <t>보통합판, 1급, 12*1220*2440mm</t>
  </si>
  <si>
    <t>5A4543CF87B11AA22A2C5226BC8E8E532E796A</t>
  </si>
  <si>
    <t>5D4E634C8DB4FDE3242C5F0B8CD3B25A4543CF87B11AA22A2C5226BC8E8E532E796A</t>
  </si>
  <si>
    <t>5D4E634C8DB4FDE3242C5F0B8CD3B25D4E634C8DB4FDE3242C5F0B8DFA5C</t>
  </si>
  <si>
    <t>인테리어필름 A    M2  건축 4-2-4   ( 호표 14 )</t>
  </si>
  <si>
    <t>5D4E634C8DB4FDC0262354B9B1872A</t>
  </si>
  <si>
    <t>인테리어필름</t>
  </si>
  <si>
    <t>메탈계 A</t>
  </si>
  <si>
    <t>가구제작/인테리어/난이도할증</t>
  </si>
  <si>
    <t>5A6023AB8A4DAC8A2620580EE0B3BF8F971E7D</t>
  </si>
  <si>
    <t>5D4E634C8DB4FDC0262354B9B1872A5A6023AB8A4DAC8A2620580EE0B3BF8F971E7D</t>
  </si>
  <si>
    <t>필름지 설치</t>
  </si>
  <si>
    <t>벽</t>
  </si>
  <si>
    <t>5D4E634C8DB4FDC0262354B9B0FEAA</t>
  </si>
  <si>
    <t>5D4E634C8DB4FDC0262354B9B1872A5D4E634C8DB4FDC0262354B9B0FEAA</t>
  </si>
  <si>
    <t>아코스틱텍스 설치    M2  건축 5-2-1   ( 호표 15 )</t>
  </si>
  <si>
    <t>5D4E634C8DE01D972B205592A41CD6</t>
  </si>
  <si>
    <t>5D4E634C8DE01D972B205592A41CD65D91A3CC854B797B2E2956BF3BE1B8ADB275BE</t>
  </si>
  <si>
    <t>5D4E634C8DE01D972B205592A41CD65D91A3CC854B797B2E2956BF3BE1B8ADB27647</t>
  </si>
  <si>
    <t>인력품의 3%</t>
  </si>
  <si>
    <t>5D4E634C8DE01D972B205592A41CD65C5733518E170A8B23215FF60896001</t>
  </si>
  <si>
    <t>자석 화이트보드  1000*1400  SET     ( 호표 16 )</t>
  </si>
  <si>
    <t>5D4E63428DD8272F27275501B6A40B</t>
  </si>
  <si>
    <t>자석유리칠판</t>
  </si>
  <si>
    <t>6t</t>
  </si>
  <si>
    <t>5A6033B38BAE916C222B5518140E2D5E6B1E1A</t>
  </si>
  <si>
    <t>5D4E63428DD8272F27275501B6A40B5A6033B38BAE916C222B5518140E2D5E6B1E1A</t>
  </si>
  <si>
    <t>도배바름(콘크리트·모르타르면)  벽, 발포벽지, 일반발포  M2  건축 5-2-7   ( 호표 17 )</t>
  </si>
  <si>
    <t>5D4E634D8E7235D7272F527B1AECCB</t>
  </si>
  <si>
    <t>도배바름(콘크리트·모르타르면)</t>
  </si>
  <si>
    <t>재료비, 발포벽지, 일반발포</t>
  </si>
  <si>
    <t>5D4E634D8E7235B42A295E6B95F8AA</t>
  </si>
  <si>
    <t>5D4E634D8E7235D7272F527B1AECCB5D4E634D8E7235B42A295E6B95F8AA</t>
  </si>
  <si>
    <t>도배바름</t>
  </si>
  <si>
    <t>콘크리트·모르타르면, 벽</t>
  </si>
  <si>
    <t>5D4E634D8E7235992C2252EBAF8B3F</t>
  </si>
  <si>
    <t>5D4E634D8E7235D7272F527B1AECCB5D4E634D8E7235992C2252EBAF8B3F</t>
  </si>
  <si>
    <t>도배바름(합판·석고보드면)  천장, 발포벽지, 일반발포  M2  건축 5-2-7   ( 호표 18 )</t>
  </si>
  <si>
    <t>5D4E634D8E7235C5202E59B8D74588</t>
  </si>
  <si>
    <t>도배바름(합판·석고보드면)</t>
  </si>
  <si>
    <t>5D4E634D8E72358F252B589A788BE0</t>
  </si>
  <si>
    <t>5D4E634D8E7235C5202E59B8D745885D4E634D8E72358F252B589A788BE0</t>
  </si>
  <si>
    <t>합판·석고보드면, 천장</t>
  </si>
  <si>
    <t>5D4E634D8E7235992C2252EA8987A1</t>
  </si>
  <si>
    <t>5D4E634D8E7235C5202E59B8D745885D4E634D8E7235992C2252EA8987A1</t>
  </si>
  <si>
    <t>SSD01  1.700 x 2.100 = 3.570  EA     ( 호표 19 )</t>
  </si>
  <si>
    <t>5D4E5368859A3A2724225C1D967BE8</t>
  </si>
  <si>
    <t>스텐창호(헤어라인)-문틀</t>
  </si>
  <si>
    <t>150*40*1.5T</t>
  </si>
  <si>
    <t>m</t>
  </si>
  <si>
    <t>5D4E536885B522522F21539AAB2ADF</t>
  </si>
  <si>
    <t>5D4E5368859A3A2724225C1D967BE85D4E536885B522522F21539AAB2ADF</t>
  </si>
  <si>
    <t>WD01  0.900 x 1.950 = 1.755  EA     ( 호표 20 )</t>
  </si>
  <si>
    <t>5D4E5368859A3A2724225C1D967BEA</t>
  </si>
  <si>
    <t>목재도어</t>
  </si>
  <si>
    <t>900*2100</t>
  </si>
  <si>
    <t>5A6023AB8A5E3EA22F285ECB12E0DF21D7F5CF</t>
  </si>
  <si>
    <t>5D4E5368859A3A2724225C1D967BEA5A6023AB8A5E3EA22F285ECB12E0DF21D7F5CF</t>
  </si>
  <si>
    <t>목재창호 설치 / 여닫이</t>
  </si>
  <si>
    <t>창호면적 m2, 1.0 ~ 3.0 이하</t>
  </si>
  <si>
    <t>개소</t>
  </si>
  <si>
    <t>5D4E536885A4B3362F2A533CDEDA58</t>
  </si>
  <si>
    <t>5D4E5368859A3A2724225C1D967BEA5D4E536885A4B3362F2A533CDEDA58</t>
  </si>
  <si>
    <t>플로어힌지 설치  재료비 별도  개소  건축 10-2-2   ( 호표 21 )</t>
  </si>
  <si>
    <t>5D4E536F88BC71002C2850BB4E8DB6</t>
  </si>
  <si>
    <t>5D91A3CC854B797B2E2956BF3BE1B8ADB27493</t>
  </si>
  <si>
    <t>5D4E536F88BC71002C2850BB4E8DB65D91A3CC854B797B2E2956BF3BE1B8ADB27493</t>
  </si>
  <si>
    <t>5D4E536F88BC71002C2850BB4E8DB65D91A3CC854B797B2E2956BF3BE1B8ADB27647</t>
  </si>
  <si>
    <t>인력품의 2%</t>
  </si>
  <si>
    <t>5D4E536F88BC71002C2850BB4E8DB65C5733518E170A8B23215FF60896001</t>
  </si>
  <si>
    <t>도어록 설치 / 일반도어록 목재창호  재료비 별도  개소  건축 10-2-3   ( 호표 22 )</t>
  </si>
  <si>
    <t>5D4E536F88871654252D58F14789AC</t>
  </si>
  <si>
    <t>5D4E536F88871654252D58F14789AC5D91A3CC854B797B2E2956BF3BE1B8ADB27493</t>
  </si>
  <si>
    <t>인력품의 4%</t>
  </si>
  <si>
    <t>5D4E536F88871654252D58F14789AC5C5733518E170A8B23215FF60896001</t>
  </si>
  <si>
    <t>수밀코킹(실리콘)  삼각, 10mm, 창호주위  M  건축 6-6-1   ( 호표 23 )</t>
  </si>
  <si>
    <t>5D4E13C88D462C072F2D5EE450FD78</t>
  </si>
  <si>
    <t>실링재</t>
  </si>
  <si>
    <t>실링재, 실리콘, 비초산, 유리용, 창호주위</t>
  </si>
  <si>
    <t>L</t>
  </si>
  <si>
    <t>5A6033B38BB8FF3F28265826D33D43FA03E0C0</t>
  </si>
  <si>
    <t>5D4E13C88D462C072F2D5EE450FD785A6033B38BB8FF3F28265826D33D43FA03E0C0</t>
  </si>
  <si>
    <t>수밀코킹</t>
  </si>
  <si>
    <t>재료비 별도</t>
  </si>
  <si>
    <t>5D4E13C88D7359BE202E508D348012</t>
  </si>
  <si>
    <t>5D4E13C88D462C072F2D5EE450FD785D4E13C88D7359BE202E508D348012</t>
  </si>
  <si>
    <t>바탕만들기+수성페인트 뿜칠  내부, 2회, G.B.면 올퍼티, 친환경(진품)  M2  건축 11-1-2,-2-3   ( 호표 24 )</t>
  </si>
  <si>
    <t>5D4E73B58678884C2022588F4D4953</t>
  </si>
  <si>
    <t>석고보드면 바탕만들기</t>
  </si>
  <si>
    <t>올퍼티, 친환경</t>
  </si>
  <si>
    <t>5D4E73A58DB120282F265C97D654DB</t>
  </si>
  <si>
    <t>5D4E73B58678884C2022588F4D49535D4E73A58DB120282F265C97D654DB</t>
  </si>
  <si>
    <t>수성페인트 뿜칠</t>
  </si>
  <si>
    <t>내부, 2회, 친환경페인트(진품)</t>
  </si>
  <si>
    <t>5D4E73B58678884C20225AB8C79229</t>
  </si>
  <si>
    <t>5D4E73B58678884C2022588F4D49535D4E73B58678884C20225AB8C79229</t>
  </si>
  <si>
    <t>2회</t>
  </si>
  <si>
    <t>5D4E73B58678884C242855A8F0312C</t>
  </si>
  <si>
    <t>5D4E73B58678884C2022588F4D49535D4E73B58678884C242855A8F0312C</t>
  </si>
  <si>
    <t>수성페인트 롤러칠  내부천장, 2회, 친환경(진품)  M2  건축 11-2-2   ( 호표 25 )</t>
  </si>
  <si>
    <t>5D4E73B586788833292951F8D68537</t>
  </si>
  <si>
    <t>5D4E73B586788833292959CE2F5567</t>
  </si>
  <si>
    <t>5D4E73B586788833292951F8D685375D4E73B586788833292959CE2F5567</t>
  </si>
  <si>
    <t>천장, 2회</t>
  </si>
  <si>
    <t>5D4E73B5867888332B2455FD8220B8</t>
  </si>
  <si>
    <t>5D4E73B586788833292951F8D685375D4E73B5867888332B2455FD8220B8</t>
  </si>
  <si>
    <t>목조, 칸막이벽 철거  해체재 재사용 안 함  M2  건축 12-2-1   ( 호표 26 )</t>
  </si>
  <si>
    <t>5D4F830886071EA12A21501B105849</t>
  </si>
  <si>
    <t>5D91A3CC854B797B2E2956BF3BE1B8ADB27494</t>
  </si>
  <si>
    <t>5D4F830886071EA12A21501B1058495D91A3CC854B797B2E2956BF3BE1B8ADB27494</t>
  </si>
  <si>
    <t>5D4F830886071EA12A21501B1058495D91A3CC854B797B2E2956BF3BE1B8ADB27647</t>
  </si>
  <si>
    <t>벽체틀 설치  50*50, @450*600  M2  건축 4-2-1   ( 호표 27 )</t>
  </si>
  <si>
    <t>5D4E03E587B2E1CC21235225E607725A6023AB8A22E4682B28552E58ED31BA63529D</t>
  </si>
  <si>
    <t>5D4E03E587B2E1CC21235225E607725D4E03E587B2C6E6242453A161B3F8</t>
  </si>
  <si>
    <t>벽체합판 설치  합판 별도  M2  건축 4-2-3   ( 호표 28 )</t>
  </si>
  <si>
    <t>5D4E634C8DB4FDE3242C5F0B8DFA5C5D91A3CC854B797B2E2956BF3BE1B8ADB27494</t>
  </si>
  <si>
    <t>5D4E634C8DB4FDE3242C5F0B8DFA5C5D91A3CC854B797B2E2956BF3BE1B8ADB27647</t>
  </si>
  <si>
    <t>5D4E634C8DB4FDE3242C5F0B8DFA5C5C5733518E170A8B23215FF60896001</t>
  </si>
  <si>
    <t>수성페인트 롤러칠  내부, 1회, 1급  M2  건축 11-2-2   ( 호표 29 )</t>
  </si>
  <si>
    <t>내부, 1회, 1급, 합성수지에멀션페인트</t>
  </si>
  <si>
    <t>5D4E73B5867888332C265DADCE08CA</t>
  </si>
  <si>
    <t>5D4E73B5867888332C265C862570D65D4E73B5867888332C265DADCE08CA</t>
  </si>
  <si>
    <t>1회</t>
  </si>
  <si>
    <t>5D4E73B5867888332C265DADCF11EA</t>
  </si>
  <si>
    <t>5D4E73B5867888332C265C862570D65D4E73B5867888332C265DADCF11EA</t>
  </si>
  <si>
    <t>벽체틀 설치  자재 별도  M2  건축 4-2-1   ( 호표 30 )</t>
  </si>
  <si>
    <t>5D4E03E587B2C6E6242453A161B3F85D91A3CC854B797B2E2956BF3BE1B8ADB27494</t>
  </si>
  <si>
    <t>5D4E03E587B2C6E6242453A161B3F85D91A3CC854B797B2E2956BF3BE1B8ADB27647</t>
  </si>
  <si>
    <t>5D4E03E587B2C6E6242453A161B3F85C5733518E170A8B23215FF60896001</t>
  </si>
  <si>
    <t>수성페인트 롤러칠  내부, 1회, 1급, 합성수지에멀션페인트  M2  건축 11-2-2   ( 호표 31 )</t>
  </si>
  <si>
    <t>수성페인트</t>
  </si>
  <si>
    <t>수성페인트, KSM6010-2종1급, 백색</t>
  </si>
  <si>
    <t>5A6033B38BB8FF1C2A255319DBEFCCF21A4241</t>
  </si>
  <si>
    <t>5D4E73B5867888332C265DADCE08CA5A6033B38BB8FF1C2A255319DBEFCCF21A4241</t>
  </si>
  <si>
    <t>잡재료</t>
  </si>
  <si>
    <t>주재료비의 6%</t>
  </si>
  <si>
    <t>5D4E73B5867888332C265DADCE08CA5C5733518E170A8B23215FF60896001</t>
  </si>
  <si>
    <t>수성페인트 롤러칠  1회  M2  건축 11-2-2   ( 호표 32 )</t>
  </si>
  <si>
    <t>5D91A3CC854B797B2E2956BF3BE1B8ADB2749E</t>
  </si>
  <si>
    <t>5D4E73B5867888332C265DADCF11EA5D91A3CC854B797B2E2956BF3BE1B8ADB2749E</t>
  </si>
  <si>
    <t>5D4E73B5867888332C265DADCF11EA5D91A3CC854B797B2E2956BF3BE1B8ADB27647</t>
  </si>
  <si>
    <t>PVC계 바닥재 설치 - 타일  주재료 제외  M2  건축 5-1-1   ( 호표 33 )</t>
  </si>
  <si>
    <t>5D4E634E88CFE9C8272B58BB4C17375D91A3CC854B797B2E2956BF3BE1B8ADB275BE</t>
  </si>
  <si>
    <t>5D4E634E88CFE9C8272B58BB4C17375D91A3CC854B797B2E2956BF3BE1B8ADB27647</t>
  </si>
  <si>
    <t>초산비닐계접착제</t>
  </si>
  <si>
    <t>초산비닐계접착제, 비닐타일용</t>
  </si>
  <si>
    <t>5A6033B38BAE916C222B51BDE32ED6DB9790AF</t>
  </si>
  <si>
    <t>5D4E634E88CFE9C8272B58BB4C17375A6033B38BAE916C222B51BDE32ED6DB9790AF</t>
  </si>
  <si>
    <t>걸레받이 설치  합성수지류, H=75~120mm 기준  M  건축 5-2-6   ( 호표 34 )</t>
  </si>
  <si>
    <t>5D4E634E888050562C27531C57D7BD5D91A3CC854B797B2E2956BF3BE1B8ADB275BE</t>
  </si>
  <si>
    <t>5D4E634E888050562C27531C57D7BD5D91A3CC854B797B2E2956BF3BE1B8ADB27647</t>
  </si>
  <si>
    <t>5D4E634E888050562C27531C57D7BD5C5733518E170A8B23215FF60896001</t>
  </si>
  <si>
    <t>걸레받이 설치  중밀도섬유판, H=75~120mm 기준  M  건축 5-2-6   ( 호표 35 )</t>
  </si>
  <si>
    <t>5D4E634E888050562C27531C57D4E95D91A3CC854B797B2E2956BF3BE1B8ADB275BE</t>
  </si>
  <si>
    <t>5D4E634E888050562C27531C57D4E95D91A3CC854B797B2E2956BF3BE1B8ADB27647</t>
  </si>
  <si>
    <t>5D4E634E888050562C27531C57D4E95C5733518E170A8B23215FF60896001</t>
  </si>
  <si>
    <t>인조광물섬유판 설치(공간넣기, 벽)  유리면보드, 밀도64kg/㎥, 50mm  M2  건축 5-3-2   ( 호표 36 )</t>
  </si>
  <si>
    <t>섬유단열재</t>
  </si>
  <si>
    <t>섬유단열재, 밀도64kg/㎥, 50mm, 유리면보드</t>
  </si>
  <si>
    <t>5A6023AB8A689B5C23215BB0F2614746BC3459</t>
  </si>
  <si>
    <t>5D4E634B83AAF2ED2028530518AD325A6023AB8A689B5C23215BB0F2614746BC3459</t>
  </si>
  <si>
    <t>50mm 이하</t>
  </si>
  <si>
    <t>5D4E634B83AAF2FF272A5CFF24C79E</t>
  </si>
  <si>
    <t>5D4E634B83AAF2ED2028530518AD325D4E634B83AAF2FF272A5CFF24C79E</t>
  </si>
  <si>
    <t>석고판(나사고정) 설치 - 바탕용  벽, 1겹 붙임  M2  건축 5-2-2   ( 호표 37 )</t>
  </si>
  <si>
    <t>5D4E634C8DD7DDB72B23539D7D3A3E5D91A3CC854B797B2E2956BF3BE1B8ADB275BE</t>
  </si>
  <si>
    <t>5D4E634C8DD7DDB72B23539D7D3A3E5D91A3CC854B797B2E2956BF3BE1B8ADB27647</t>
  </si>
  <si>
    <t>5D4E634C8DD7DDB72B23539D7D3A3E5C5733518E170A8B23215FF60896001</t>
  </si>
  <si>
    <t>석고보드</t>
  </si>
  <si>
    <t>석고보드, 평보드, 9.5*900*1800mm(㎡)</t>
  </si>
  <si>
    <t>5A6023AB8A4DAC8A26205490C323FB5950A786</t>
  </si>
  <si>
    <t>5D4E634C8DD7DDB72B23539D7D3A3E5A6023AB8A4DAC8A26205490C323FB5950A786</t>
  </si>
  <si>
    <t>인조광물섬유판 설치(공간넣기, 벽)  50mm 이하  M2  건축 5-3-2   ( 호표 38 )</t>
  </si>
  <si>
    <t>5D4E634B83AAF2FF272A5CFF24C79E5D91A3CC854B797B2E2956BF3BE1B8ADB275BE</t>
  </si>
  <si>
    <t>5D4E634B83AAF2FF272A5CFF24C79E5D91A3CC854B797B2E2956BF3BE1B8ADB27647</t>
  </si>
  <si>
    <t>필름지 설치  벽  M2  건축 4-2-4준용   ( 호표 39 )</t>
  </si>
  <si>
    <t>5D4E634C8DB4FDC0262354B9B0FEAA5D91A3CC854B797B2E2956BF3BE1B8ADB27494</t>
  </si>
  <si>
    <t>5D4E634C8DB4FDC0262354B9B0FEAA5D91A3CC854B797B2E2956BF3BE1B8ADB27647</t>
  </si>
  <si>
    <t>5D4E634C8DB4FDC0262354B9B0FEAA5C5733518E170A8B23215FF60896001</t>
  </si>
  <si>
    <t>도배바름(콘크리트·모르타르면)  재료비, 발포벽지, 일반발포  M2  건축 5-2-7   ( 호표 40 )</t>
  </si>
  <si>
    <t>종이벽지</t>
  </si>
  <si>
    <t>종이벽지, 초배지</t>
  </si>
  <si>
    <t>5A6023AB8A4DAC8A26205FB9737C6A721E8F56</t>
  </si>
  <si>
    <t>5D4E634D8E7235B42A295E6B95F8AA5A6023AB8A4DAC8A26205FB9737C6A721E8F56</t>
  </si>
  <si>
    <t>발포벽지</t>
  </si>
  <si>
    <t>발포벽지, 일반발포</t>
  </si>
  <si>
    <t>5A6023AB8A4DAC8A26205FB9737C6A721FAE29</t>
  </si>
  <si>
    <t>5D4E634D8E7235B42A295E6B95F8AA5A6023AB8A4DAC8A26205FB9737C6A721FAE29</t>
  </si>
  <si>
    <t>초산비닐계접착제, 벽지용</t>
  </si>
  <si>
    <t>5A6033B38BAE916C222B51BDE32ED6DB9791BD</t>
  </si>
  <si>
    <t>5D4E634D8E7235B42A295E6B95F8AA5A6033B38BAE916C222B51BDE32ED6DB9791BD</t>
  </si>
  <si>
    <t>도배바름  콘크리트·모르타르면, 벽  M2  건축 5-2-7   ( 호표 41 )</t>
  </si>
  <si>
    <t>도배공</t>
  </si>
  <si>
    <t>5D91A3CC854B797B2E2956BF3BE1B8ADB275BF</t>
  </si>
  <si>
    <t>5D4E634D8E7235992C2252EBAF8B3F5D91A3CC854B797B2E2956BF3BE1B8ADB275BF</t>
  </si>
  <si>
    <t>5D4E634D8E7235992C2252EBAF8B3F5D91A3CC854B797B2E2956BF3BE1B8ADB27647</t>
  </si>
  <si>
    <t>도배바름(합판·석고보드면)  재료비, 발포벽지, 일반발포  M2  건축 5-2-7   ( 호표 42 )</t>
  </si>
  <si>
    <t>5D4E634D8E72358F252B589A788BE05A6023AB8A4DAC8A26205FB9737C6A721E8F56</t>
  </si>
  <si>
    <t>5D4E634D8E72358F252B589A788BE05A6023AB8A4DAC8A26205FB9737C6A721FAE29</t>
  </si>
  <si>
    <t>5D4E634D8E72358F252B589A788BE05A6033B38BAE916C222B51BDE32ED6DB9791BD</t>
  </si>
  <si>
    <t>도배바름  합판·석고보드면, 천장  M2  건축 5-2-7   ( 호표 43 )</t>
  </si>
  <si>
    <t>5D4E634D8E7235992C2252EA8987A15D91A3CC854B797B2E2956BF3BE1B8ADB275BF</t>
  </si>
  <si>
    <t>5D4E634D8E7235992C2252EA8987A15D91A3CC854B797B2E2956BF3BE1B8ADB27647</t>
  </si>
  <si>
    <t>노임할증</t>
  </si>
  <si>
    <t>인력품의 30%</t>
  </si>
  <si>
    <t>5D4E634D8E7235992C2252EA8987A15C5733518E170A8B23215FF60896001</t>
  </si>
  <si>
    <t>목재창호 설치 / 여닫이  창호면적 m2, 1.0 ~ 3.0 이하  개소  건축 10-1-1   ( 호표 44 )</t>
  </si>
  <si>
    <t>5D4E536885A4B3362F2A533CDEDA585D91A3CC854B797B2E2956BF3BE1B8ADB27493</t>
  </si>
  <si>
    <t>5D4E536885A4B3362F2A533CDEDA585D91A3CC854B797B2E2956BF3BE1B8ADB27647</t>
  </si>
  <si>
    <t>5D4E536885A4B3362F2A533CDEDA585C5733518E170A8B23215FF60896001</t>
  </si>
  <si>
    <t>수밀코킹  재료비 별도  M  건축 6-6-1   ( 호표 45 )</t>
  </si>
  <si>
    <t>기타 직종</t>
  </si>
  <si>
    <t>5D91A3CC854B797B2E2952C4B386807F91A805</t>
  </si>
  <si>
    <t>5D4E13C88D7359BE202E508D3480125D91A3CC854B797B2E2952C4B386807F91A805</t>
  </si>
  <si>
    <t>석고보드면 바탕만들기  올퍼티, 친환경  M2  건축 11-1-2   ( 호표 46 )</t>
  </si>
  <si>
    <t>F-Tape</t>
  </si>
  <si>
    <t>W:35~100mm</t>
  </si>
  <si>
    <t>5A6033B38BAE916C222B5518140E2D5195196B</t>
  </si>
  <si>
    <t>5D4E73A58DB120282F265C97D654DB5A6033B38BAE916C222B5518140E2D5195196B</t>
  </si>
  <si>
    <t>휠러</t>
  </si>
  <si>
    <t>5A6033B38BAE916C222B5518140E2D51951846</t>
  </si>
  <si>
    <t>5D4E73A58DB120282F265C97D654DB5A6033B38BAE916C222B5518140E2D51951846</t>
  </si>
  <si>
    <t>퍼티</t>
  </si>
  <si>
    <t>퍼티, 친환경, 내부</t>
  </si>
  <si>
    <t>5A6033B38BAE916C222B5518140E2D5197C6FE</t>
  </si>
  <si>
    <t>5D4E73A58DB120282F265C97D654DB5A6033B38BAE916C222B5518140E2D5197C6FE</t>
  </si>
  <si>
    <t>연마지</t>
  </si>
  <si>
    <t>연마지, #120~180, 230*280mm</t>
  </si>
  <si>
    <t>장</t>
  </si>
  <si>
    <t>5A6033B08EF671EC24265C9272C59D00954A91</t>
  </si>
  <si>
    <t>5D4E73A58DB120282F265C97D654DB5A6033B08EF671EC24265C9272C59D00954A91</t>
  </si>
  <si>
    <t>5D4E73A58DB120282F265C97D654DB5D91A3CC854B797B2E2956BF3BE1B8ADB2749E</t>
  </si>
  <si>
    <t>5D4E73A58DB120282F265C97D654DB5D91A3CC854B797B2E2956BF3BE1B8ADB27647</t>
  </si>
  <si>
    <t>5D4E73A58DB120282F265C97D654DB5C5733518E170A8B23215FF60896001</t>
  </si>
  <si>
    <t>수성페인트 뿜칠  내부, 2회, 친환경페인트(진품)  M2  건축 11-2-3   ( 호표 47 )</t>
  </si>
  <si>
    <t>수성페인트, 친환경(진품)</t>
  </si>
  <si>
    <t>5A6033B38BB8FF1C2A255319D923A1C15D16EC</t>
  </si>
  <si>
    <t>5D4E73B58678884C20225AB8C792295A6033B38BB8FF1C2A255319D923A1C15D16EC</t>
  </si>
  <si>
    <t>5D4E73B58678884C20225AB8C792295C5733518E170A8B23215FF60896001</t>
  </si>
  <si>
    <t>수성페인트 뿜칠  2회  M2  건축 11-2-3   ( 호표 48 )</t>
  </si>
  <si>
    <t>5D4E73B58678884C242855A8F0312C5D91A3CC854B797B2E2956BF3BE1B8ADB2749E</t>
  </si>
  <si>
    <t>5D4E73B58678884C242855A8F0312C5D91A3CC854B797B2E2956BF3BE1B8ADB27647</t>
  </si>
  <si>
    <t>인력품의 9%</t>
  </si>
  <si>
    <t>5D4E73B58678884C242855A8F0312C5C5733518E170A8B23215FF60896001</t>
  </si>
  <si>
    <t>수성페인트 롤러칠  내부, 2회, 친환경페인트(진품)  M2  건축 11-2-2   ( 호표 49 )</t>
  </si>
  <si>
    <t>5D4E73B586788833292959CE2F55675A6033B38BB8FF1C2A255319D923A1C15D16EC</t>
  </si>
  <si>
    <t>5D4E73B586788833292959CE2F55675C5733518E170A8B23215FF60896001</t>
  </si>
  <si>
    <t>수성페인트 롤러칠  천장, 2회  M2  건축 11-2-2   ( 호표 50 )</t>
  </si>
  <si>
    <t>5D4E73B5867888332B2455FD8220B85D91A3CC854B797B2E2956BF3BE1B8ADB2749E</t>
  </si>
  <si>
    <t>5D4E73B5867888332B2455FD8220B85D91A3CC854B797B2E2956BF3BE1B8ADB27647</t>
  </si>
  <si>
    <t>인력품의 20%</t>
  </si>
  <si>
    <t>5D4E73B5867888332B2455FD8220B85C5733518E170A8B23215FF60896001</t>
  </si>
  <si>
    <t>90*40*0.8t</t>
    <phoneticPr fontId="3" type="noConversion"/>
  </si>
  <si>
    <t>90*45*0.8t</t>
    <phoneticPr fontId="3" type="noConversion"/>
  </si>
  <si>
    <t>내장공</t>
    <phoneticPr fontId="3" type="noConversion"/>
  </si>
  <si>
    <t>보통인부</t>
    <phoneticPr fontId="3" type="noConversion"/>
  </si>
  <si>
    <t>MDF 설치</t>
    <phoneticPr fontId="3" type="noConversion"/>
  </si>
  <si>
    <t>코  드</t>
  </si>
  <si>
    <t>규격</t>
  </si>
  <si>
    <t>노 무 비</t>
  </si>
  <si>
    <t>경    비</t>
  </si>
  <si>
    <t>번  호</t>
  </si>
  <si>
    <t>품목구분</t>
  </si>
  <si>
    <t>노임구분</t>
  </si>
  <si>
    <t>소수점처리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</si>
  <si>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</si>
  <si>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</si>
  <si>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</si>
  <si>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</si>
  <si>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</si>
  <si>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</si>
  <si>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</si>
  <si>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653</t>
  </si>
  <si>
    <t>417</t>
  </si>
  <si>
    <t>자재 1</t>
  </si>
  <si>
    <t>자재 2</t>
  </si>
  <si>
    <t>654</t>
  </si>
  <si>
    <t>419</t>
  </si>
  <si>
    <t>자재 3</t>
  </si>
  <si>
    <t>675</t>
  </si>
  <si>
    <t>자재 4</t>
  </si>
  <si>
    <t>152</t>
  </si>
  <si>
    <t>73</t>
  </si>
  <si>
    <t>자재 5</t>
  </si>
  <si>
    <t>자재 6</t>
  </si>
  <si>
    <t>680</t>
  </si>
  <si>
    <t>401</t>
  </si>
  <si>
    <t>자재 7</t>
  </si>
  <si>
    <t>자재 8</t>
  </si>
  <si>
    <t>자재 9</t>
  </si>
  <si>
    <t>645</t>
  </si>
  <si>
    <t>자재 10</t>
  </si>
  <si>
    <t>657</t>
  </si>
  <si>
    <t>418</t>
  </si>
  <si>
    <t>자재 11</t>
  </si>
  <si>
    <t>5A6023AB8A4DACB72A2E5E1817B8F2D50CC8F4</t>
  </si>
  <si>
    <t>불연천장재</t>
  </si>
  <si>
    <t>불연천장재, 마이텍스, 12*300*600mm, 나사, 타카</t>
  </si>
  <si>
    <t>662</t>
  </si>
  <si>
    <t>자재 12</t>
  </si>
  <si>
    <t>659</t>
  </si>
  <si>
    <t>자재 13</t>
  </si>
  <si>
    <t>430</t>
  </si>
  <si>
    <t>자재 14</t>
  </si>
  <si>
    <t>자재 15</t>
  </si>
  <si>
    <t>자재 16</t>
  </si>
  <si>
    <t>자재 17</t>
  </si>
  <si>
    <t>87</t>
  </si>
  <si>
    <t>57</t>
  </si>
  <si>
    <t>자재 18</t>
  </si>
  <si>
    <t>자재 19</t>
  </si>
  <si>
    <t>695</t>
  </si>
  <si>
    <t>508</t>
  </si>
  <si>
    <t>자재 20</t>
  </si>
  <si>
    <t>511</t>
  </si>
  <si>
    <t>자재 21</t>
  </si>
  <si>
    <t>5A6023AB8A5E3E912F2B5D18482AC271B48D3C</t>
  </si>
  <si>
    <t>유리문</t>
  </si>
  <si>
    <t>유리문, 12*900*2100mm, 손보호, 투명, 강화유리문</t>
  </si>
  <si>
    <t>자재 22</t>
  </si>
  <si>
    <t>시공비포함</t>
  </si>
  <si>
    <t>물자603</t>
  </si>
  <si>
    <t>자재 23</t>
  </si>
  <si>
    <t>104</t>
  </si>
  <si>
    <t>자재 24</t>
  </si>
  <si>
    <t>5A6033B08E0E3BE1222353EEC42DD9D77AA475</t>
  </si>
  <si>
    <t>도어힌지</t>
  </si>
  <si>
    <t>도어힌지, 황동, 베어링2개, 101.6*2.7mm</t>
  </si>
  <si>
    <t>자재 25</t>
  </si>
  <si>
    <t>5A6033B08E0E3BE1222353EEC42DDF6142ACA9</t>
  </si>
  <si>
    <t>플로어힌지</t>
  </si>
  <si>
    <t>플로어힌지, KS3호, 105kg, 강화유리문(K-6300)</t>
  </si>
  <si>
    <t>조</t>
  </si>
  <si>
    <t>643</t>
  </si>
  <si>
    <t>465</t>
  </si>
  <si>
    <t>자재 26</t>
  </si>
  <si>
    <t>5A6033B08E0E3B26212256C503CFDA3EA24E8A</t>
  </si>
  <si>
    <t>손잡이</t>
  </si>
  <si>
    <t>손잡이, 스테인리스, 보통(중)</t>
  </si>
  <si>
    <t>자재 27</t>
  </si>
  <si>
    <t>5A6033B08E0E3B26212256C50100E1395184A9</t>
  </si>
  <si>
    <t>도어핸들</t>
  </si>
  <si>
    <t>도어핸들, LEVER 3300 황동, (주거용-침실)</t>
  </si>
  <si>
    <t>612</t>
  </si>
  <si>
    <t>456</t>
  </si>
  <si>
    <t>자재 28</t>
  </si>
  <si>
    <t>1353</t>
  </si>
  <si>
    <t>1216</t>
  </si>
  <si>
    <t>자재 29</t>
  </si>
  <si>
    <t>자재 30</t>
  </si>
  <si>
    <t>자재 31</t>
  </si>
  <si>
    <t>자재 32</t>
  </si>
  <si>
    <t>151</t>
  </si>
  <si>
    <t>자재 33</t>
  </si>
  <si>
    <t>606</t>
  </si>
  <si>
    <t>479</t>
  </si>
  <si>
    <t>자재 34</t>
  </si>
  <si>
    <t>476</t>
  </si>
  <si>
    <t>561</t>
  </si>
  <si>
    <t>자재 35</t>
  </si>
  <si>
    <t>자재 36</t>
  </si>
  <si>
    <t>자재 37</t>
  </si>
  <si>
    <t>견적</t>
  </si>
  <si>
    <t>자재 38</t>
  </si>
  <si>
    <t>5A6033B38BAE916C222B5518140E2D5E684ABC</t>
  </si>
  <si>
    <t>전기공사</t>
  </si>
  <si>
    <t>스위치/콘센트</t>
  </si>
  <si>
    <t>차영전기</t>
  </si>
  <si>
    <t>자재 39</t>
  </si>
  <si>
    <t>5A6033B38BAE916C222B5518140E2D5E6951AD</t>
  </si>
  <si>
    <t>사인공사</t>
  </si>
  <si>
    <t>서울시 아크릴마크/기타시 트컷마감</t>
  </si>
  <si>
    <t>signcom21</t>
  </si>
  <si>
    <t>자재 40</t>
  </si>
  <si>
    <t>5A6033B38BAE916C222B5518140E2D5E6ED3A7</t>
  </si>
  <si>
    <t>접수 및 데스크진열대</t>
  </si>
  <si>
    <t>수납장 / 테이블포함</t>
  </si>
  <si>
    <t>아크인테리어</t>
  </si>
  <si>
    <t>자재 41</t>
  </si>
  <si>
    <t>5A6033B38BAE916C222B5518140E2D5E6FF9AA</t>
  </si>
  <si>
    <t>경량랙 진열장</t>
  </si>
  <si>
    <t>운송/시공도</t>
  </si>
  <si>
    <t>한마음진열</t>
  </si>
  <si>
    <t>자재 42</t>
  </si>
  <si>
    <t>604</t>
  </si>
  <si>
    <t>자재 43</t>
  </si>
  <si>
    <t>600</t>
  </si>
  <si>
    <t>자재 44</t>
  </si>
  <si>
    <t>592</t>
  </si>
  <si>
    <t>자재 45</t>
  </si>
  <si>
    <t>5D4E83998EAB8FA72D275F67359D1A</t>
  </si>
  <si>
    <t>건설폐재류</t>
  </si>
  <si>
    <t>가연성이 제거된 재활용이 가능한 혼합물</t>
  </si>
  <si>
    <t>TON</t>
  </si>
  <si>
    <t>자재 46</t>
  </si>
  <si>
    <t>C</t>
  </si>
  <si>
    <t>5D4E83998EAB8FA72D275F6732C9BB</t>
  </si>
  <si>
    <t>혼합건설폐기물</t>
  </si>
  <si>
    <t>건설폐재류에 가연성 5% 이하 혼합</t>
  </si>
  <si>
    <t>자재 47</t>
  </si>
  <si>
    <t>5D4E83998EAB8FB022205432B6EE07</t>
  </si>
  <si>
    <t>건설폐기물 상차 및 운반비 - 중량 기준</t>
  </si>
  <si>
    <t>중간처리 대상, 15ton 덤프트럭, 30km</t>
  </si>
  <si>
    <t>자재 48</t>
  </si>
  <si>
    <t>자재 49</t>
  </si>
  <si>
    <t>자재 50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</si>
  <si>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</si>
  <si>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</si>
  <si>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</si>
  <si>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</si>
  <si>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</si>
  <si>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</si>
  <si>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</si>
  <si>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</si>
  <si>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</si>
  <si>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</si>
  <si>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9mm 방염</t>
    <phoneticPr fontId="3" type="noConversion"/>
  </si>
  <si>
    <t>MDF 구조설치</t>
    <phoneticPr fontId="3" type="noConversion"/>
  </si>
  <si>
    <t>2025.9.1</t>
    <phoneticPr fontId="12" type="noConversion"/>
  </si>
  <si>
    <t xml:space="preserve">[표] 직종별 노임단가 (적용시점 : 2025년 9월 1일부터) </t>
    <phoneticPr fontId="12" type="noConversion"/>
  </si>
  <si>
    <t>2025년 하반기 적용 건설업 직종별 노임단가</t>
    <phoneticPr fontId="12" type="noConversion"/>
  </si>
  <si>
    <t>안내데스크. 1</t>
    <phoneticPr fontId="3" type="noConversion"/>
  </si>
  <si>
    <t>우리나라의 구석기</t>
    <phoneticPr fontId="3" type="noConversion"/>
  </si>
  <si>
    <t xml:space="preserve"> 4.8x1.4x1.0m</t>
    <phoneticPr fontId="3" type="noConversion"/>
  </si>
  <si>
    <t>인</t>
    <phoneticPr fontId="3" type="noConversion"/>
  </si>
  <si>
    <t xml:space="preserve">스틸각파이프 </t>
    <phoneticPr fontId="3" type="noConversion"/>
  </si>
  <si>
    <t xml:space="preserve">각파이프 가공 </t>
    <phoneticPr fontId="3" type="noConversion"/>
  </si>
  <si>
    <t xml:space="preserve">철공 </t>
    <phoneticPr fontId="3" type="noConversion"/>
  </si>
  <si>
    <t>용접공</t>
    <phoneticPr fontId="3" type="noConversion"/>
  </si>
  <si>
    <t>내수 합판</t>
    <phoneticPr fontId="3" type="noConversion"/>
  </si>
  <si>
    <t>12mm 2p</t>
    <phoneticPr fontId="3" type="noConversion"/>
  </si>
  <si>
    <t xml:space="preserve">도장공 </t>
    <phoneticPr fontId="3" type="noConversion"/>
  </si>
  <si>
    <t>합성수지페인트</t>
    <phoneticPr fontId="3" type="noConversion"/>
  </si>
  <si>
    <t>ㅣ</t>
    <phoneticPr fontId="3" type="noConversion"/>
  </si>
  <si>
    <t>입구주먹도끼단독장</t>
    <phoneticPr fontId="3" type="noConversion"/>
  </si>
  <si>
    <t>구석기시대 도구비교</t>
    <phoneticPr fontId="3" type="noConversion"/>
  </si>
  <si>
    <t>평면유리</t>
    <phoneticPr fontId="3" type="noConversion"/>
  </si>
  <si>
    <t>5mm투명강화</t>
    <phoneticPr fontId="3" type="noConversion"/>
  </si>
  <si>
    <t xml:space="preserve">유리공 </t>
    <phoneticPr fontId="3" type="noConversion"/>
  </si>
  <si>
    <t>계</t>
    <phoneticPr fontId="3" type="noConversion"/>
  </si>
  <si>
    <t>안내데스크</t>
    <phoneticPr fontId="3" type="noConversion"/>
  </si>
  <si>
    <t>기존안내데스크 철거</t>
    <phoneticPr fontId="3" type="noConversion"/>
  </si>
  <si>
    <t>안내데스크 제작</t>
    <phoneticPr fontId="3" type="noConversion"/>
  </si>
  <si>
    <t>1. 안내데스크</t>
    <phoneticPr fontId="3" type="noConversion"/>
  </si>
  <si>
    <t>교육체험공간 곡면가벽제작설치</t>
    <phoneticPr fontId="3" type="noConversion"/>
  </si>
  <si>
    <t>교육체험공간 곡면가벽설치</t>
    <phoneticPr fontId="3" type="noConversion"/>
  </si>
  <si>
    <t xml:space="preserve">로비휴게공간 </t>
    <phoneticPr fontId="3" type="noConversion"/>
  </si>
  <si>
    <t>로비 대형 휴게의자 철거</t>
    <phoneticPr fontId="3" type="noConversion"/>
  </si>
  <si>
    <t>기존전시대철거</t>
    <phoneticPr fontId="3" type="noConversion"/>
  </si>
  <si>
    <t>다운리프트 전시대제작설치</t>
    <phoneticPr fontId="3" type="noConversion"/>
  </si>
  <si>
    <t>10mm 투명</t>
    <phoneticPr fontId="3" type="noConversion"/>
  </si>
  <si>
    <t>유물 받침대</t>
    <phoneticPr fontId="3" type="noConversion"/>
  </si>
  <si>
    <t>5종</t>
    <phoneticPr fontId="3" type="noConversion"/>
  </si>
  <si>
    <t>다운리프트 장치</t>
    <phoneticPr fontId="3" type="noConversion"/>
  </si>
  <si>
    <t>상하전동식</t>
    <phoneticPr fontId="3" type="noConversion"/>
  </si>
  <si>
    <t>유리공</t>
    <phoneticPr fontId="3" type="noConversion"/>
  </si>
  <si>
    <t>기계설비공</t>
    <phoneticPr fontId="3" type="noConversion"/>
  </si>
  <si>
    <t>곡면유리 가공</t>
    <phoneticPr fontId="3" type="noConversion"/>
  </si>
  <si>
    <t>뼈와도구의 연대기</t>
    <phoneticPr fontId="3" type="noConversion"/>
  </si>
  <si>
    <t>기존 전시구조물 철거</t>
    <phoneticPr fontId="3" type="noConversion"/>
  </si>
  <si>
    <t>곡면cnc가공</t>
    <phoneticPr fontId="3" type="noConversion"/>
  </si>
  <si>
    <t>15mm고밀도</t>
    <phoneticPr fontId="3" type="noConversion"/>
  </si>
  <si>
    <t>기존 구조물 철거</t>
    <phoneticPr fontId="3" type="noConversion"/>
  </si>
  <si>
    <t>스틸 각파이프</t>
  </si>
  <si>
    <t>각파이프 가공</t>
  </si>
  <si>
    <t>철골</t>
  </si>
  <si>
    <t>인부</t>
  </si>
  <si>
    <t>전시대 및 전시구조물제작</t>
    <phoneticPr fontId="3" type="noConversion"/>
  </si>
  <si>
    <t>판유리</t>
    <phoneticPr fontId="3" type="noConversion"/>
  </si>
  <si>
    <t>10mm곡면</t>
    <phoneticPr fontId="3" type="noConversion"/>
  </si>
  <si>
    <t>30x30</t>
    <phoneticPr fontId="3" type="noConversion"/>
  </si>
  <si>
    <t>곡면</t>
    <phoneticPr fontId="3" type="noConversion"/>
  </si>
  <si>
    <t>• 종전의 '철공+절단공' 통합</t>
  </si>
  <si>
    <t>0.45x0.3x7</t>
    <phoneticPr fontId="3" type="noConversion"/>
  </si>
  <si>
    <t>인류진화의위대한행진</t>
    <phoneticPr fontId="3" type="noConversion"/>
  </si>
  <si>
    <t>전곡리발굴현장</t>
    <phoneticPr fontId="3" type="noConversion"/>
  </si>
  <si>
    <t>발굴도구전시대</t>
    <phoneticPr fontId="3" type="noConversion"/>
  </si>
  <si>
    <t>1.5x0.5x0.6m</t>
    <phoneticPr fontId="3" type="noConversion"/>
  </si>
  <si>
    <t>9mm투명강화</t>
    <phoneticPr fontId="3" type="noConversion"/>
  </si>
  <si>
    <t>발굴현장재현보강</t>
    <phoneticPr fontId="3" type="noConversion"/>
  </si>
  <si>
    <t>발굴현장</t>
    <phoneticPr fontId="3" type="noConversion"/>
  </si>
  <si>
    <t>2.0x6.2m</t>
    <phoneticPr fontId="3" type="noConversion"/>
  </si>
  <si>
    <t>토층 전시보강</t>
    <phoneticPr fontId="3" type="noConversion"/>
  </si>
  <si>
    <t>철공</t>
    <phoneticPr fontId="3" type="noConversion"/>
  </si>
  <si>
    <t xml:space="preserve">전곡발굴사 </t>
    <phoneticPr fontId="3" type="noConversion"/>
  </si>
  <si>
    <t>벽면 복원</t>
    <phoneticPr fontId="3" type="noConversion"/>
  </si>
  <si>
    <t>기존전시구조물철거</t>
    <phoneticPr fontId="3" type="noConversion"/>
  </si>
  <si>
    <t>전곡리발굴사 및 토층</t>
    <phoneticPr fontId="3" type="noConversion"/>
  </si>
  <si>
    <t>전곡리발굴사</t>
    <phoneticPr fontId="3" type="noConversion"/>
  </si>
  <si>
    <t>기존전시대 철거</t>
    <phoneticPr fontId="3" type="noConversion"/>
  </si>
  <si>
    <t>주먹도끼 전시대</t>
    <phoneticPr fontId="3" type="noConversion"/>
  </si>
  <si>
    <t>10mm투명강화</t>
    <phoneticPr fontId="3" type="noConversion"/>
  </si>
  <si>
    <t>기존의자철거</t>
    <phoneticPr fontId="3" type="noConversion"/>
  </si>
  <si>
    <t xml:space="preserve"> 전시대구조변경</t>
    <phoneticPr fontId="3" type="noConversion"/>
  </si>
  <si>
    <t>모니터 및 구조물</t>
    <phoneticPr fontId="3" type="noConversion"/>
  </si>
  <si>
    <t>24인치</t>
    <phoneticPr fontId="3" type="noConversion"/>
  </si>
  <si>
    <t>세트</t>
    <phoneticPr fontId="3" type="noConversion"/>
  </si>
  <si>
    <t xml:space="preserve">우리나라입체지형 </t>
    <phoneticPr fontId="3" type="noConversion"/>
  </si>
  <si>
    <t>대형찌르게 전시대</t>
    <phoneticPr fontId="3" type="noConversion"/>
  </si>
  <si>
    <t>유물받침대</t>
    <phoneticPr fontId="3" type="noConversion"/>
  </si>
  <si>
    <t>입체지도 조각</t>
    <phoneticPr fontId="3" type="noConversion"/>
  </si>
  <si>
    <t>지도형틀제작</t>
    <phoneticPr fontId="3" type="noConversion"/>
  </si>
  <si>
    <t>지도성형</t>
    <phoneticPr fontId="3" type="noConversion"/>
  </si>
  <si>
    <t>입체지도 채색</t>
    <phoneticPr fontId="3" type="noConversion"/>
  </si>
  <si>
    <t>검색시스템</t>
    <phoneticPr fontId="3" type="noConversion"/>
  </si>
  <si>
    <t>인터렉티브</t>
    <phoneticPr fontId="3" type="noConversion"/>
  </si>
  <si>
    <t>원형조각</t>
    <phoneticPr fontId="3" type="noConversion"/>
  </si>
  <si>
    <t>성형 형틀제작</t>
    <phoneticPr fontId="3" type="noConversion"/>
  </si>
  <si>
    <t>강화수지성형</t>
    <phoneticPr fontId="3" type="noConversion"/>
  </si>
  <si>
    <t>위성사진기준</t>
    <phoneticPr fontId="3" type="noConversion"/>
  </si>
  <si>
    <t>바닥 매장유구바닥공사</t>
    <phoneticPr fontId="3" type="noConversion"/>
  </si>
  <si>
    <t>매장유구 전시구조</t>
    <phoneticPr fontId="3" type="noConversion"/>
  </si>
  <si>
    <t>바닥매장유구</t>
    <phoneticPr fontId="3" type="noConversion"/>
  </si>
  <si>
    <t>구석기시대예술 전시구조</t>
    <phoneticPr fontId="3" type="noConversion"/>
  </si>
  <si>
    <t>홀로그램전시대</t>
    <phoneticPr fontId="3" type="noConversion"/>
  </si>
  <si>
    <t>구석기시대예술</t>
    <phoneticPr fontId="3" type="noConversion"/>
  </si>
  <si>
    <t>한탄임진간유역의구석기</t>
    <phoneticPr fontId="3" type="noConversion"/>
  </si>
  <si>
    <t>토층앞주먹도끼장</t>
    <phoneticPr fontId="3" type="noConversion"/>
  </si>
  <si>
    <t>홀로그램 전시대</t>
    <phoneticPr fontId="3" type="noConversion"/>
  </si>
  <si>
    <t>0.5x0.35x3</t>
    <phoneticPr fontId="3" type="noConversion"/>
  </si>
  <si>
    <t>직접재료비의 1%</t>
    <phoneticPr fontId="3" type="noConversion"/>
  </si>
  <si>
    <t>2. 교육 체험공간</t>
    <phoneticPr fontId="3" type="noConversion"/>
  </si>
  <si>
    <t>3. 로비 휴게공간</t>
    <phoneticPr fontId="3" type="noConversion"/>
  </si>
  <si>
    <t>5. 뼈와 도구의 연대기</t>
    <phoneticPr fontId="3" type="noConversion"/>
  </si>
  <si>
    <t>4. 주먹도끼 단독장</t>
    <phoneticPr fontId="3" type="noConversion"/>
  </si>
  <si>
    <t>6. 인류 진화의 위대한 행진</t>
    <phoneticPr fontId="3" type="noConversion"/>
  </si>
  <si>
    <t>8. 전곡리 발굴사 및 토층</t>
    <phoneticPr fontId="3" type="noConversion"/>
  </si>
  <si>
    <t>9. 전곡리 발굴사</t>
    <phoneticPr fontId="3" type="noConversion"/>
  </si>
  <si>
    <t>12. 우리나라의 구석기</t>
    <phoneticPr fontId="3" type="noConversion"/>
  </si>
  <si>
    <t>14. 구석기시대의 예술</t>
    <phoneticPr fontId="3" type="noConversion"/>
  </si>
  <si>
    <t>15. 우리나라의 구석기 홀로그램 전시대</t>
    <phoneticPr fontId="3" type="noConversion"/>
  </si>
  <si>
    <t>7. 전곡리 발굴 현장</t>
    <phoneticPr fontId="3" type="noConversion"/>
  </si>
  <si>
    <t>10. 토층 앞 주먹도끼 장</t>
    <phoneticPr fontId="3" type="noConversion"/>
  </si>
  <si>
    <t>11. 한탄-임진강 유역의 구석기</t>
    <phoneticPr fontId="3" type="noConversion"/>
  </si>
  <si>
    <t>13. 바닥 매장유구</t>
    <phoneticPr fontId="3" type="noConversion"/>
  </si>
  <si>
    <t xml:space="preserve"> 공사명 :  전곡선사박물관 상설전시실 구석기 코너 개편 </t>
    <phoneticPr fontId="3" type="noConversion"/>
  </si>
  <si>
    <t xml:space="preserve"> 공사명 : 전곡선사박물관 상설전시실 구석기 코너 개편 </t>
    <phoneticPr fontId="3" type="noConversion"/>
  </si>
  <si>
    <t xml:space="preserve">(재료비+직노)*3.11% </t>
    <phoneticPr fontId="3" type="noConversion"/>
  </si>
  <si>
    <t>(노무비+경비+일반관리비) * 15%</t>
    <phoneticPr fontId="3" type="noConversion"/>
  </si>
  <si>
    <t>퇴 직 공 제 부 금 비</t>
    <phoneticPr fontId="3" type="noConversion"/>
  </si>
  <si>
    <t>직접노무비의 2.3%</t>
    <phoneticPr fontId="3" type="noConversion"/>
  </si>
  <si>
    <t>직접노무비의 11.2%</t>
    <phoneticPr fontId="3" type="noConversion"/>
  </si>
  <si>
    <t>5ton 2대, 1대당 700,000)(반출비용포함)</t>
    <phoneticPr fontId="3" type="noConversion"/>
  </si>
  <si>
    <t>계 *5.5%</t>
    <phoneticPr fontId="3" type="noConversion"/>
  </si>
  <si>
    <t>십만원 단위 이하 절사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</si>
</sst>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#,###_-"/>
    <numFmt numFmtId="178" formatCode="#,##0.0_-"/>
    <numFmt numFmtId="179" formatCode="&quot; 인력품의 &quot;\ General&quot;%&quot;"/>
    <numFmt numFmtId="180" formatCode="_-* #,##0.00_-;\-* #,##0.00_-;_-* &quot;-&quot;_-;_-@_-"/>
    <numFmt numFmtId="181" formatCode="#,##0_-"/>
    <numFmt numFmtId="182" formatCode="_-* #,##0.0_-;\-* #,##0.0_-;_-* &quot;-&quot;_-;_-@_-"/>
    <numFmt numFmtId="183" formatCode="#,###"/>
    <numFmt numFmtId="184" formatCode="#,##0.00#"/>
    <numFmt numFmtId="185" formatCode="#,##0.0"/>
    <numFmt numFmtId="186" formatCode="#,##0.00#;\-#,##0.00#;#"/>
    <numFmt numFmtId="187" formatCode="_-* #,##0.0000_-;\-* #,##0.0000_-;_-* &quot;-&quot;_-;_-@_-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바탕체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1"/>
      <color rgb="FF000000"/>
      <name val="나눔고딕"/>
      <family val="3"/>
      <charset val="129"/>
    </font>
    <font>
      <sz val="18"/>
      <color rgb="FF000000"/>
      <name val="나눔고딕"/>
      <family val="3"/>
      <charset val="129"/>
    </font>
    <font>
      <sz val="8"/>
      <name val="돋움"/>
      <family val="3"/>
      <charset val="129"/>
    </font>
    <font>
      <sz val="18"/>
      <color rgb="FF000000"/>
      <name val="돋움"/>
      <family val="3"/>
      <charset val="129"/>
    </font>
    <font>
      <sz val="12"/>
      <color rgb="FF000000"/>
      <name val="나눔고딕"/>
      <family val="3"/>
      <charset val="129"/>
    </font>
    <font>
      <sz val="14"/>
      <color rgb="FF000000"/>
      <name val="나눔고딕"/>
      <family val="3"/>
      <charset val="129"/>
    </font>
    <font>
      <b/>
      <sz val="12"/>
      <color rgb="FF000000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나눔고딕"/>
      <charset val="129"/>
    </font>
    <font>
      <sz val="10"/>
      <name val="맑은 고딕"/>
      <family val="3"/>
      <charset val="129"/>
      <scheme val="major"/>
    </font>
    <font>
      <sz val="12"/>
      <color rgb="FF000000"/>
      <name val="나눔고딕"/>
      <charset val="129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4" fillId="0" borderId="0"/>
    <xf numFmtId="0" fontId="4" fillId="0" borderId="0"/>
    <xf numFmtId="0" fontId="2" fillId="0" borderId="0">
      <alignment vertical="center"/>
    </xf>
    <xf numFmtId="9" fontId="2" fillId="0" borderId="0"/>
  </cellStyleXfs>
  <cellXfs count="271">
    <xf numFmtId="0" fontId="0" fillId="0" borderId="0" xfId="0">
      <alignment vertical="center"/>
    </xf>
    <xf numFmtId="41" fontId="6" fillId="0" borderId="14" xfId="3" applyFont="1" applyBorder="1" applyAlignment="1">
      <alignment horizontal="left" vertical="center"/>
    </xf>
    <xf numFmtId="0" fontId="6" fillId="0" borderId="14" xfId="4" applyFont="1" applyBorder="1" applyAlignment="1">
      <alignment horizontal="center" vertical="center"/>
    </xf>
    <xf numFmtId="180" fontId="6" fillId="0" borderId="14" xfId="3" applyNumberFormat="1" applyFont="1" applyBorder="1" applyAlignment="1">
      <alignment vertical="center"/>
    </xf>
    <xf numFmtId="177" fontId="6" fillId="0" borderId="14" xfId="3" applyNumberFormat="1" applyFont="1" applyBorder="1" applyAlignment="1">
      <alignment horizontal="right" vertical="center"/>
    </xf>
    <xf numFmtId="181" fontId="6" fillId="0" borderId="14" xfId="3" applyNumberFormat="1" applyFont="1" applyBorder="1" applyAlignment="1">
      <alignment horizontal="right" vertical="center"/>
    </xf>
    <xf numFmtId="179" fontId="6" fillId="0" borderId="14" xfId="3" applyNumberFormat="1" applyFont="1" applyBorder="1" applyAlignment="1">
      <alignment horizontal="left" vertical="center"/>
    </xf>
    <xf numFmtId="41" fontId="6" fillId="0" borderId="14" xfId="3" applyFont="1" applyBorder="1" applyAlignment="1">
      <alignment vertical="center"/>
    </xf>
    <xf numFmtId="177" fontId="6" fillId="0" borderId="14" xfId="3" applyNumberFormat="1" applyFont="1" applyBorder="1" applyAlignment="1">
      <alignment vertical="center"/>
    </xf>
    <xf numFmtId="180" fontId="6" fillId="3" borderId="14" xfId="3" applyNumberFormat="1" applyFont="1" applyFill="1" applyBorder="1" applyAlignment="1">
      <alignment horizontal="center" vertical="center"/>
    </xf>
    <xf numFmtId="41" fontId="6" fillId="3" borderId="14" xfId="3" applyFont="1" applyFill="1" applyBorder="1" applyAlignment="1">
      <alignment horizontal="center" vertical="center"/>
    </xf>
    <xf numFmtId="177" fontId="6" fillId="3" borderId="14" xfId="3" applyNumberFormat="1" applyFont="1" applyFill="1" applyBorder="1" applyAlignment="1">
      <alignment horizontal="center" vertical="center"/>
    </xf>
    <xf numFmtId="176" fontId="7" fillId="3" borderId="14" xfId="3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quotePrefix="1" applyFont="1">
      <alignment vertical="center"/>
    </xf>
    <xf numFmtId="0" fontId="8" fillId="0" borderId="14" xfId="0" quotePrefix="1" applyFont="1" applyBorder="1" applyAlignment="1">
      <alignment horizontal="center" vertical="center" wrapText="1"/>
    </xf>
    <xf numFmtId="183" fontId="8" fillId="0" borderId="14" xfId="0" applyNumberFormat="1" applyFont="1" applyBorder="1" applyAlignment="1">
      <alignment vertical="center" wrapText="1"/>
    </xf>
    <xf numFmtId="0" fontId="8" fillId="0" borderId="14" xfId="0" quotePrefix="1" applyFont="1" applyBorder="1" applyAlignment="1">
      <alignment vertical="center" wrapText="1"/>
    </xf>
    <xf numFmtId="0" fontId="10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0" fillId="0" borderId="0" xfId="5" quotePrefix="1" applyFont="1" applyAlignment="1">
      <alignment horizontal="center" vertical="center"/>
    </xf>
    <xf numFmtId="0" fontId="16" fillId="2" borderId="2" xfId="5" applyFont="1" applyFill="1" applyBorder="1" applyAlignment="1">
      <alignment horizontal="center" vertical="center"/>
    </xf>
    <xf numFmtId="0" fontId="16" fillId="2" borderId="3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14" fillId="0" borderId="13" xfId="5" applyFont="1" applyBorder="1">
      <alignment vertical="center"/>
    </xf>
    <xf numFmtId="0" fontId="17" fillId="0" borderId="0" xfId="5" applyFont="1">
      <alignment vertical="center"/>
    </xf>
    <xf numFmtId="0" fontId="14" fillId="0" borderId="7" xfId="5" applyFont="1" applyBorder="1">
      <alignment vertical="center"/>
    </xf>
    <xf numFmtId="176" fontId="14" fillId="0" borderId="7" xfId="6" applyNumberFormat="1" applyFont="1" applyBorder="1" applyAlignment="1">
      <alignment vertical="center"/>
    </xf>
    <xf numFmtId="0" fontId="14" fillId="0" borderId="7" xfId="5" applyFont="1" applyBorder="1" applyAlignment="1">
      <alignment vertical="center" wrapText="1"/>
    </xf>
    <xf numFmtId="0" fontId="14" fillId="0" borderId="10" xfId="5" applyFont="1" applyBorder="1">
      <alignment vertical="center"/>
    </xf>
    <xf numFmtId="0" fontId="18" fillId="0" borderId="14" xfId="0" applyFont="1" applyBorder="1" applyAlignment="1">
      <alignment vertical="center" wrapText="1"/>
    </xf>
    <xf numFmtId="184" fontId="18" fillId="0" borderId="14" xfId="0" applyNumberFormat="1" applyFont="1" applyBorder="1" applyAlignment="1">
      <alignment vertical="center" wrapText="1"/>
    </xf>
    <xf numFmtId="185" fontId="18" fillId="0" borderId="14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18" fillId="0" borderId="14" xfId="0" quotePrefix="1" applyFont="1" applyBorder="1" applyAlignment="1">
      <alignment vertical="center" wrapText="1"/>
    </xf>
    <xf numFmtId="0" fontId="19" fillId="0" borderId="14" xfId="0" quotePrefix="1" applyFont="1" applyBorder="1" applyAlignment="1">
      <alignment horizontal="center" vertical="center"/>
    </xf>
    <xf numFmtId="186" fontId="18" fillId="0" borderId="14" xfId="0" quotePrefix="1" applyNumberFormat="1" applyFont="1" applyBorder="1" applyAlignment="1">
      <alignment vertical="center" wrapText="1"/>
    </xf>
    <xf numFmtId="186" fontId="18" fillId="0" borderId="14" xfId="0" applyNumberFormat="1" applyFont="1" applyBorder="1" applyAlignment="1">
      <alignment vertical="center" wrapText="1"/>
    </xf>
    <xf numFmtId="186" fontId="0" fillId="0" borderId="0" xfId="0" applyNumberFormat="1">
      <alignment vertical="center"/>
    </xf>
    <xf numFmtId="0" fontId="20" fillId="0" borderId="12" xfId="5" applyFont="1" applyBorder="1" applyAlignment="1">
      <alignment horizontal="center" vertical="center"/>
    </xf>
    <xf numFmtId="0" fontId="20" fillId="0" borderId="1" xfId="5" applyFont="1" applyBorder="1" applyAlignment="1">
      <alignment horizontal="left" vertical="center" indent="1"/>
    </xf>
    <xf numFmtId="3" fontId="20" fillId="0" borderId="1" xfId="5" applyNumberFormat="1" applyFont="1" applyBorder="1" applyAlignment="1">
      <alignment horizontal="right" vertical="center" indent="1"/>
    </xf>
    <xf numFmtId="0" fontId="20" fillId="0" borderId="5" xfId="5" applyFont="1" applyBorder="1" applyAlignment="1">
      <alignment horizontal="center" vertical="center"/>
    </xf>
    <xf numFmtId="0" fontId="20" fillId="0" borderId="6" xfId="5" applyFont="1" applyBorder="1" applyAlignment="1">
      <alignment horizontal="left" vertical="center" indent="1"/>
    </xf>
    <xf numFmtId="3" fontId="20" fillId="0" borderId="6" xfId="5" applyNumberFormat="1" applyFont="1" applyBorder="1" applyAlignment="1">
      <alignment horizontal="right" vertical="center" indent="1"/>
    </xf>
    <xf numFmtId="0" fontId="20" fillId="0" borderId="11" xfId="5" applyFont="1" applyBorder="1" applyAlignment="1">
      <alignment horizontal="center" vertical="center"/>
    </xf>
    <xf numFmtId="0" fontId="20" fillId="0" borderId="8" xfId="5" applyFont="1" applyBorder="1" applyAlignment="1">
      <alignment horizontal="left" vertical="center" indent="1"/>
    </xf>
    <xf numFmtId="3" fontId="20" fillId="0" borderId="8" xfId="5" applyNumberFormat="1" applyFont="1" applyBorder="1" applyAlignment="1">
      <alignment horizontal="right" vertical="center" indent="1"/>
    </xf>
    <xf numFmtId="183" fontId="8" fillId="0" borderId="0" xfId="0" applyNumberFormat="1" applyFont="1">
      <alignment vertical="center"/>
    </xf>
    <xf numFmtId="41" fontId="8" fillId="0" borderId="0" xfId="1" applyFont="1">
      <alignment vertical="center"/>
    </xf>
    <xf numFmtId="41" fontId="8" fillId="0" borderId="0" xfId="0" applyNumberFormat="1" applyFont="1">
      <alignment vertical="center"/>
    </xf>
    <xf numFmtId="0" fontId="21" fillId="0" borderId="14" xfId="0" quotePrefix="1" applyFont="1" applyBorder="1" applyAlignment="1">
      <alignment horizontal="center" vertical="center" wrapText="1"/>
    </xf>
    <xf numFmtId="0" fontId="22" fillId="0" borderId="14" xfId="0" quotePrefix="1" applyFont="1" applyBorder="1" applyAlignment="1">
      <alignment vertical="center" wrapText="1"/>
    </xf>
    <xf numFmtId="41" fontId="22" fillId="0" borderId="14" xfId="1" quotePrefix="1" applyFont="1" applyBorder="1" applyAlignment="1">
      <alignment vertical="center" wrapText="1"/>
    </xf>
    <xf numFmtId="180" fontId="6" fillId="0" borderId="14" xfId="3" applyNumberFormat="1" applyFont="1" applyBorder="1" applyAlignment="1">
      <alignment vertical="center" shrinkToFit="1"/>
    </xf>
    <xf numFmtId="181" fontId="6" fillId="0" borderId="14" xfId="3" applyNumberFormat="1" applyFont="1" applyBorder="1" applyAlignment="1">
      <alignment vertical="center"/>
    </xf>
    <xf numFmtId="176" fontId="6" fillId="0" borderId="14" xfId="3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4" fillId="0" borderId="0" xfId="2" applyFont="1" applyAlignment="1">
      <alignment vertical="center"/>
    </xf>
    <xf numFmtId="0" fontId="23" fillId="3" borderId="14" xfId="3" applyNumberFormat="1" applyFont="1" applyFill="1" applyBorder="1" applyAlignment="1">
      <alignment horizontal="center" vertical="center"/>
    </xf>
    <xf numFmtId="176" fontId="23" fillId="3" borderId="14" xfId="3" applyNumberFormat="1" applyFont="1" applyFill="1" applyBorder="1" applyAlignment="1">
      <alignment horizontal="center" vertical="center"/>
    </xf>
    <xf numFmtId="180" fontId="23" fillId="3" borderId="14" xfId="3" applyNumberFormat="1" applyFont="1" applyFill="1" applyBorder="1" applyAlignment="1">
      <alignment horizontal="center" vertical="center"/>
    </xf>
    <xf numFmtId="41" fontId="23" fillId="3" borderId="14" xfId="3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177" fontId="23" fillId="3" borderId="14" xfId="3" applyNumberFormat="1" applyFont="1" applyFill="1" applyBorder="1" applyAlignment="1">
      <alignment horizontal="center" vertical="center"/>
    </xf>
    <xf numFmtId="0" fontId="23" fillId="0" borderId="14" xfId="0" quotePrefix="1" applyFont="1" applyBorder="1" applyAlignment="1">
      <alignment vertical="center" wrapText="1"/>
    </xf>
    <xf numFmtId="180" fontId="23" fillId="0" borderId="14" xfId="0" applyNumberFormat="1" applyFont="1" applyBorder="1" applyAlignment="1">
      <alignment vertical="center" wrapText="1"/>
    </xf>
    <xf numFmtId="3" fontId="23" fillId="0" borderId="14" xfId="0" applyNumberFormat="1" applyFont="1" applyBorder="1" applyAlignment="1">
      <alignment vertical="center" wrapText="1"/>
    </xf>
    <xf numFmtId="181" fontId="23" fillId="0" borderId="14" xfId="3" applyNumberFormat="1" applyFont="1" applyBorder="1" applyAlignment="1">
      <alignment vertical="center"/>
    </xf>
    <xf numFmtId="177" fontId="23" fillId="0" borderId="14" xfId="3" applyNumberFormat="1" applyFont="1" applyBorder="1" applyAlignment="1">
      <alignment vertical="center"/>
    </xf>
    <xf numFmtId="41" fontId="23" fillId="0" borderId="14" xfId="3" applyFont="1" applyBorder="1" applyAlignment="1">
      <alignment vertical="center"/>
    </xf>
    <xf numFmtId="41" fontId="23" fillId="0" borderId="14" xfId="3" applyFont="1" applyBorder="1" applyAlignment="1">
      <alignment horizontal="left" vertical="center"/>
    </xf>
    <xf numFmtId="0" fontId="23" fillId="0" borderId="0" xfId="0" applyFont="1">
      <alignment vertical="center"/>
    </xf>
    <xf numFmtId="41" fontId="23" fillId="3" borderId="14" xfId="1" applyFont="1" applyFill="1" applyBorder="1" applyAlignment="1">
      <alignment horizontal="center" vertical="center"/>
    </xf>
    <xf numFmtId="180" fontId="23" fillId="0" borderId="0" xfId="0" applyNumberFormat="1" applyFont="1">
      <alignment vertical="center"/>
    </xf>
    <xf numFmtId="0" fontId="23" fillId="0" borderId="14" xfId="0" quotePrefix="1" applyFont="1" applyBorder="1" applyAlignment="1">
      <alignment horizontal="center" vertical="center" wrapText="1"/>
    </xf>
    <xf numFmtId="43" fontId="23" fillId="0" borderId="14" xfId="0" applyNumberFormat="1" applyFont="1" applyBorder="1" applyAlignment="1">
      <alignment vertical="center" wrapText="1"/>
    </xf>
    <xf numFmtId="176" fontId="23" fillId="0" borderId="14" xfId="3" applyNumberFormat="1" applyFont="1" applyBorder="1" applyAlignment="1">
      <alignment horizontal="center" vertical="center"/>
    </xf>
    <xf numFmtId="178" fontId="23" fillId="0" borderId="14" xfId="3" applyNumberFormat="1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182" fontId="23" fillId="0" borderId="14" xfId="3" applyNumberFormat="1" applyFont="1" applyBorder="1" applyAlignment="1">
      <alignment vertical="center" shrinkToFit="1"/>
    </xf>
    <xf numFmtId="180" fontId="23" fillId="0" borderId="14" xfId="3" applyNumberFormat="1" applyFont="1" applyBorder="1" applyAlignment="1">
      <alignment vertical="center"/>
    </xf>
    <xf numFmtId="0" fontId="23" fillId="0" borderId="14" xfId="3" applyNumberFormat="1" applyFont="1" applyBorder="1" applyAlignment="1">
      <alignment horizontal="left" vertical="center"/>
    </xf>
    <xf numFmtId="0" fontId="23" fillId="0" borderId="14" xfId="4" applyFont="1" applyBorder="1" applyAlignment="1">
      <alignment horizontal="center" vertical="center"/>
    </xf>
    <xf numFmtId="41" fontId="23" fillId="0" borderId="14" xfId="1" applyFont="1" applyBorder="1" applyAlignment="1">
      <alignment vertical="center" wrapText="1"/>
    </xf>
    <xf numFmtId="181" fontId="23" fillId="0" borderId="14" xfId="3" applyNumberFormat="1" applyFont="1" applyBorder="1" applyAlignment="1">
      <alignment horizontal="right" vertical="center"/>
    </xf>
    <xf numFmtId="180" fontId="23" fillId="3" borderId="14" xfId="1" applyNumberFormat="1" applyFont="1" applyFill="1" applyBorder="1" applyAlignment="1">
      <alignment horizontal="center" vertical="center"/>
    </xf>
    <xf numFmtId="180" fontId="23" fillId="0" borderId="14" xfId="1" applyNumberFormat="1" applyFont="1" applyBorder="1" applyAlignment="1">
      <alignment vertical="center" wrapText="1"/>
    </xf>
    <xf numFmtId="180" fontId="23" fillId="0" borderId="14" xfId="1" applyNumberFormat="1" applyFont="1" applyBorder="1" applyAlignment="1">
      <alignment vertical="center" shrinkToFit="1"/>
    </xf>
    <xf numFmtId="0" fontId="23" fillId="2" borderId="9" xfId="2" applyFont="1" applyFill="1" applyBorder="1" applyAlignment="1">
      <alignment vertical="center"/>
    </xf>
    <xf numFmtId="176" fontId="24" fillId="2" borderId="9" xfId="3" applyNumberFormat="1" applyFont="1" applyFill="1" applyBorder="1" applyAlignment="1">
      <alignment vertical="center"/>
    </xf>
    <xf numFmtId="41" fontId="24" fillId="2" borderId="9" xfId="3" applyFont="1" applyFill="1" applyBorder="1" applyAlignment="1">
      <alignment vertical="center"/>
    </xf>
    <xf numFmtId="176" fontId="24" fillId="2" borderId="9" xfId="3" applyNumberFormat="1" applyFont="1" applyFill="1" applyBorder="1" applyAlignment="1">
      <alignment horizontal="center" vertical="center"/>
    </xf>
    <xf numFmtId="180" fontId="23" fillId="2" borderId="9" xfId="3" applyNumberFormat="1" applyFont="1" applyFill="1" applyBorder="1" applyAlignment="1">
      <alignment horizontal="center" vertical="center"/>
    </xf>
    <xf numFmtId="177" fontId="23" fillId="2" borderId="9" xfId="3" applyNumberFormat="1" applyFont="1" applyFill="1" applyBorder="1" applyAlignment="1">
      <alignment horizontal="center" vertical="center"/>
    </xf>
    <xf numFmtId="0" fontId="24" fillId="2" borderId="9" xfId="3" applyNumberFormat="1" applyFont="1" applyFill="1" applyBorder="1" applyAlignment="1">
      <alignment horizontal="center" vertical="center"/>
    </xf>
    <xf numFmtId="177" fontId="23" fillId="0" borderId="14" xfId="3" applyNumberFormat="1" applyFont="1" applyBorder="1" applyAlignment="1">
      <alignment horizontal="right" vertical="center"/>
    </xf>
    <xf numFmtId="178" fontId="23" fillId="0" borderId="14" xfId="3" applyNumberFormat="1" applyFont="1" applyBorder="1" applyAlignment="1">
      <alignment horizontal="right" vertical="center"/>
    </xf>
    <xf numFmtId="0" fontId="25" fillId="0" borderId="0" xfId="0" applyFont="1">
      <alignment vertical="center"/>
    </xf>
    <xf numFmtId="0" fontId="8" fillId="2" borderId="9" xfId="2" applyFont="1" applyFill="1" applyBorder="1" applyAlignment="1">
      <alignment vertical="center"/>
    </xf>
    <xf numFmtId="176" fontId="26" fillId="2" borderId="9" xfId="3" applyNumberFormat="1" applyFont="1" applyFill="1" applyBorder="1" applyAlignment="1">
      <alignment vertical="center"/>
    </xf>
    <xf numFmtId="41" fontId="26" fillId="2" borderId="9" xfId="3" applyFont="1" applyFill="1" applyBorder="1" applyAlignment="1">
      <alignment vertical="center"/>
    </xf>
    <xf numFmtId="176" fontId="26" fillId="2" borderId="9" xfId="3" applyNumberFormat="1" applyFont="1" applyFill="1" applyBorder="1" applyAlignment="1">
      <alignment horizontal="center" vertical="center"/>
    </xf>
    <xf numFmtId="180" fontId="8" fillId="2" borderId="9" xfId="3" applyNumberFormat="1" applyFont="1" applyFill="1" applyBorder="1" applyAlignment="1">
      <alignment horizontal="center" vertical="center"/>
    </xf>
    <xf numFmtId="177" fontId="8" fillId="2" borderId="9" xfId="3" applyNumberFormat="1" applyFont="1" applyFill="1" applyBorder="1" applyAlignment="1">
      <alignment horizontal="center" vertical="center"/>
    </xf>
    <xf numFmtId="0" fontId="26" fillId="2" borderId="9" xfId="3" applyNumberFormat="1" applyFont="1" applyFill="1" applyBorder="1" applyAlignment="1">
      <alignment horizontal="center" vertical="center"/>
    </xf>
    <xf numFmtId="0" fontId="26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177" fontId="8" fillId="3" borderId="14" xfId="3" applyNumberFormat="1" applyFont="1" applyFill="1" applyBorder="1" applyAlignment="1">
      <alignment horizontal="center" vertical="center"/>
    </xf>
    <xf numFmtId="41" fontId="8" fillId="3" borderId="14" xfId="3" applyFont="1" applyFill="1" applyBorder="1" applyAlignment="1">
      <alignment horizontal="center" vertical="center"/>
    </xf>
    <xf numFmtId="0" fontId="8" fillId="0" borderId="14" xfId="3" applyNumberFormat="1" applyFont="1" applyBorder="1" applyAlignment="1">
      <alignment horizontal="left" vertical="center"/>
    </xf>
    <xf numFmtId="176" fontId="8" fillId="3" borderId="14" xfId="3" applyNumberFormat="1" applyFont="1" applyFill="1" applyBorder="1" applyAlignment="1">
      <alignment horizontal="center" vertical="center"/>
    </xf>
    <xf numFmtId="180" fontId="8" fillId="0" borderId="14" xfId="3" applyNumberFormat="1" applyFont="1" applyBorder="1" applyAlignment="1">
      <alignment vertical="center"/>
    </xf>
    <xf numFmtId="177" fontId="8" fillId="0" borderId="14" xfId="3" applyNumberFormat="1" applyFont="1" applyBorder="1" applyAlignment="1">
      <alignment horizontal="right" vertical="center"/>
    </xf>
    <xf numFmtId="181" fontId="8" fillId="0" borderId="14" xfId="3" applyNumberFormat="1" applyFont="1" applyBorder="1" applyAlignment="1">
      <alignment horizontal="right" vertical="center"/>
    </xf>
    <xf numFmtId="178" fontId="8" fillId="0" borderId="14" xfId="3" applyNumberFormat="1" applyFont="1" applyBorder="1" applyAlignment="1">
      <alignment horizontal="right" vertical="center"/>
    </xf>
    <xf numFmtId="41" fontId="8" fillId="0" borderId="14" xfId="3" applyFont="1" applyBorder="1" applyAlignment="1">
      <alignment horizontal="left" vertical="center"/>
    </xf>
    <xf numFmtId="0" fontId="8" fillId="0" borderId="14" xfId="4" applyFont="1" applyBorder="1" applyAlignment="1">
      <alignment horizontal="center" vertical="center"/>
    </xf>
    <xf numFmtId="41" fontId="8" fillId="0" borderId="14" xfId="3" applyFont="1" applyBorder="1" applyAlignment="1">
      <alignment vertical="center"/>
    </xf>
    <xf numFmtId="176" fontId="8" fillId="0" borderId="14" xfId="3" applyNumberFormat="1" applyFont="1" applyBorder="1" applyAlignment="1">
      <alignment horizontal="center" vertical="center"/>
    </xf>
    <xf numFmtId="177" fontId="8" fillId="0" borderId="14" xfId="3" applyNumberFormat="1" applyFont="1" applyBorder="1" applyAlignment="1">
      <alignment vertical="center"/>
    </xf>
    <xf numFmtId="181" fontId="8" fillId="0" borderId="14" xfId="3" applyNumberFormat="1" applyFont="1" applyBorder="1" applyAlignment="1">
      <alignment vertical="center"/>
    </xf>
    <xf numFmtId="180" fontId="8" fillId="3" borderId="14" xfId="1" applyNumberFormat="1" applyFont="1" applyFill="1" applyBorder="1" applyAlignment="1">
      <alignment horizontal="center" vertical="center"/>
    </xf>
    <xf numFmtId="180" fontId="8" fillId="0" borderId="14" xfId="1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0" fontId="8" fillId="3" borderId="14" xfId="3" applyNumberFormat="1" applyFont="1" applyFill="1" applyBorder="1" applyAlignment="1">
      <alignment horizontal="center" vertical="center"/>
    </xf>
    <xf numFmtId="41" fontId="8" fillId="3" borderId="14" xfId="1" applyFont="1" applyFill="1" applyBorder="1" applyAlignment="1">
      <alignment horizontal="center" vertical="center"/>
    </xf>
    <xf numFmtId="180" fontId="8" fillId="0" borderId="0" xfId="0" applyNumberFormat="1" applyFont="1">
      <alignment vertical="center"/>
    </xf>
    <xf numFmtId="180" fontId="8" fillId="0" borderId="14" xfId="1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6" fillId="0" borderId="0" xfId="0" applyFont="1">
      <alignment vertical="center"/>
    </xf>
    <xf numFmtId="43" fontId="8" fillId="0" borderId="14" xfId="0" applyNumberFormat="1" applyFont="1" applyBorder="1" applyAlignment="1">
      <alignment vertical="center" wrapText="1"/>
    </xf>
    <xf numFmtId="182" fontId="8" fillId="0" borderId="14" xfId="3" applyNumberFormat="1" applyFont="1" applyBorder="1" applyAlignment="1">
      <alignment vertical="center" shrinkToFit="1"/>
    </xf>
    <xf numFmtId="178" fontId="8" fillId="0" borderId="14" xfId="3" applyNumberFormat="1" applyFont="1" applyBorder="1" applyAlignment="1">
      <alignment vertical="center"/>
    </xf>
    <xf numFmtId="180" fontId="8" fillId="3" borderId="14" xfId="3" applyNumberFormat="1" applyFont="1" applyFill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180" fontId="23" fillId="0" borderId="14" xfId="3" applyNumberFormat="1" applyFont="1" applyBorder="1" applyAlignment="1">
      <alignment vertical="center" shrinkToFit="1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center" indent="1"/>
    </xf>
    <xf numFmtId="3" fontId="30" fillId="0" borderId="6" xfId="0" applyNumberFormat="1" applyFont="1" applyBorder="1" applyAlignment="1">
      <alignment horizontal="right" vertical="center" indent="1"/>
    </xf>
    <xf numFmtId="0" fontId="30" fillId="0" borderId="7" xfId="0" applyFont="1" applyBorder="1">
      <alignment vertical="center"/>
    </xf>
    <xf numFmtId="0" fontId="28" fillId="0" borderId="0" xfId="0" applyFont="1">
      <alignment vertical="center"/>
    </xf>
    <xf numFmtId="0" fontId="17" fillId="0" borderId="0" xfId="0" applyFont="1">
      <alignment vertical="center"/>
    </xf>
    <xf numFmtId="177" fontId="8" fillId="3" borderId="14" xfId="3" applyNumberFormat="1" applyFont="1" applyFill="1" applyBorder="1" applyAlignment="1">
      <alignment horizontal="right" vertical="center"/>
    </xf>
    <xf numFmtId="182" fontId="8" fillId="3" borderId="14" xfId="3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79" fontId="8" fillId="0" borderId="14" xfId="3" applyNumberFormat="1" applyFont="1" applyBorder="1" applyAlignment="1">
      <alignment horizontal="left" vertical="center"/>
    </xf>
    <xf numFmtId="41" fontId="23" fillId="3" borderId="14" xfId="1" applyFont="1" applyFill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 wrapText="1"/>
    </xf>
    <xf numFmtId="180" fontId="8" fillId="0" borderId="14" xfId="3" applyNumberFormat="1" applyFont="1" applyBorder="1" applyAlignment="1">
      <alignment vertical="center" shrinkToFit="1"/>
    </xf>
    <xf numFmtId="41" fontId="8" fillId="0" borderId="14" xfId="4" applyNumberFormat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41" fontId="23" fillId="2" borderId="9" xfId="1" applyFont="1" applyFill="1" applyBorder="1" applyAlignment="1">
      <alignment vertical="center"/>
    </xf>
    <xf numFmtId="41" fontId="24" fillId="2" borderId="9" xfId="1" applyFont="1" applyFill="1" applyBorder="1" applyAlignment="1">
      <alignment vertical="center"/>
    </xf>
    <xf numFmtId="41" fontId="24" fillId="2" borderId="9" xfId="1" applyFont="1" applyFill="1" applyBorder="1" applyAlignment="1">
      <alignment horizontal="center" vertical="center"/>
    </xf>
    <xf numFmtId="41" fontId="23" fillId="2" borderId="9" xfId="1" applyFont="1" applyFill="1" applyBorder="1" applyAlignment="1">
      <alignment horizontal="center" vertical="center"/>
    </xf>
    <xf numFmtId="41" fontId="24" fillId="0" borderId="0" xfId="1" applyFont="1" applyAlignment="1">
      <alignment vertical="center"/>
    </xf>
    <xf numFmtId="41" fontId="23" fillId="0" borderId="0" xfId="1" applyFont="1" applyAlignment="1">
      <alignment horizontal="center" vertical="center"/>
    </xf>
    <xf numFmtId="41" fontId="23" fillId="0" borderId="14" xfId="1" applyFont="1" applyBorder="1" applyAlignment="1">
      <alignment horizontal="left" vertical="center"/>
    </xf>
    <xf numFmtId="41" fontId="23" fillId="0" borderId="14" xfId="1" applyFont="1" applyBorder="1" applyAlignment="1">
      <alignment vertical="center"/>
    </xf>
    <xf numFmtId="41" fontId="23" fillId="0" borderId="14" xfId="1" applyFont="1" applyBorder="1" applyAlignment="1">
      <alignment horizontal="right" vertical="center"/>
    </xf>
    <xf numFmtId="41" fontId="23" fillId="0" borderId="0" xfId="1" applyFont="1" applyAlignment="1">
      <alignment vertical="center"/>
    </xf>
    <xf numFmtId="41" fontId="23" fillId="0" borderId="0" xfId="1" applyFont="1">
      <alignment vertical="center"/>
    </xf>
    <xf numFmtId="41" fontId="21" fillId="0" borderId="14" xfId="3" applyFont="1" applyBorder="1" applyAlignment="1">
      <alignment vertical="center"/>
    </xf>
    <xf numFmtId="0" fontId="21" fillId="3" borderId="14" xfId="4" applyFont="1" applyFill="1" applyBorder="1" applyAlignment="1">
      <alignment horizontal="center" vertical="center"/>
    </xf>
    <xf numFmtId="180" fontId="21" fillId="3" borderId="14" xfId="3" applyNumberFormat="1" applyFont="1" applyFill="1" applyBorder="1" applyAlignment="1">
      <alignment vertical="center" shrinkToFit="1"/>
    </xf>
    <xf numFmtId="177" fontId="21" fillId="0" borderId="14" xfId="3" applyNumberFormat="1" applyFont="1" applyBorder="1" applyAlignment="1">
      <alignment vertical="center"/>
    </xf>
    <xf numFmtId="181" fontId="21" fillId="0" borderId="14" xfId="3" applyNumberFormat="1" applyFont="1" applyBorder="1" applyAlignment="1">
      <alignment vertical="center"/>
    </xf>
    <xf numFmtId="180" fontId="8" fillId="0" borderId="14" xfId="0" applyNumberFormat="1" applyFont="1" applyBorder="1" applyAlignment="1">
      <alignment vertical="center" wrapText="1"/>
    </xf>
    <xf numFmtId="41" fontId="8" fillId="0" borderId="14" xfId="1" applyFont="1" applyBorder="1" applyAlignment="1">
      <alignment vertical="center" wrapText="1"/>
    </xf>
    <xf numFmtId="41" fontId="21" fillId="3" borderId="14" xfId="4" applyNumberFormat="1" applyFont="1" applyFill="1" applyBorder="1" applyAlignment="1">
      <alignment horizontal="center" vertical="center"/>
    </xf>
    <xf numFmtId="176" fontId="21" fillId="3" borderId="14" xfId="3" applyNumberFormat="1" applyFont="1" applyFill="1" applyBorder="1" applyAlignment="1">
      <alignment horizontal="center" vertical="center"/>
    </xf>
    <xf numFmtId="176" fontId="21" fillId="0" borderId="14" xfId="3" applyNumberFormat="1" applyFont="1" applyBorder="1" applyAlignment="1">
      <alignment horizontal="center" vertical="center"/>
    </xf>
    <xf numFmtId="180" fontId="21" fillId="0" borderId="14" xfId="1" applyNumberFormat="1" applyFont="1" applyBorder="1" applyAlignment="1">
      <alignment vertical="center" shrinkToFit="1"/>
    </xf>
    <xf numFmtId="187" fontId="21" fillId="3" borderId="14" xfId="3" applyNumberFormat="1" applyFont="1" applyFill="1" applyBorder="1" applyAlignment="1">
      <alignment vertical="center" shrinkToFit="1"/>
    </xf>
    <xf numFmtId="181" fontId="21" fillId="0" borderId="14" xfId="3" applyNumberFormat="1" applyFont="1" applyBorder="1" applyAlignment="1">
      <alignment horizontal="right" vertical="center"/>
    </xf>
    <xf numFmtId="177" fontId="21" fillId="3" borderId="14" xfId="3" applyNumberFormat="1" applyFont="1" applyFill="1" applyBorder="1" applyAlignment="1">
      <alignment horizontal="right" vertical="center"/>
    </xf>
    <xf numFmtId="0" fontId="21" fillId="3" borderId="14" xfId="3" applyNumberFormat="1" applyFont="1" applyFill="1" applyBorder="1" applyAlignment="1">
      <alignment horizontal="left" vertical="center"/>
    </xf>
    <xf numFmtId="41" fontId="29" fillId="0" borderId="14" xfId="1" applyFont="1" applyBorder="1" applyAlignment="1">
      <alignment horizontal="left" vertical="center"/>
    </xf>
    <xf numFmtId="41" fontId="29" fillId="0" borderId="14" xfId="1" applyFont="1" applyBorder="1" applyAlignment="1">
      <alignment horizontal="center" vertical="center"/>
    </xf>
    <xf numFmtId="41" fontId="29" fillId="0" borderId="14" xfId="1" applyFont="1" applyBorder="1" applyAlignment="1">
      <alignment vertical="center"/>
    </xf>
    <xf numFmtId="41" fontId="29" fillId="0" borderId="14" xfId="1" applyFont="1" applyBorder="1" applyAlignment="1">
      <alignment horizontal="right" vertical="center"/>
    </xf>
    <xf numFmtId="41" fontId="29" fillId="0" borderId="0" xfId="1" applyFont="1">
      <alignment vertical="center"/>
    </xf>
    <xf numFmtId="0" fontId="8" fillId="0" borderId="0" xfId="0" quotePrefix="1" applyFont="1">
      <alignment vertical="center"/>
    </xf>
    <xf numFmtId="0" fontId="8" fillId="0" borderId="14" xfId="0" quotePrefix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 wrapText="1"/>
    </xf>
    <xf numFmtId="0" fontId="8" fillId="0" borderId="22" xfId="0" quotePrefix="1" applyFont="1" applyBorder="1" applyAlignment="1">
      <alignment horizontal="center" vertical="center" wrapText="1"/>
    </xf>
    <xf numFmtId="0" fontId="8" fillId="0" borderId="24" xfId="0" quotePrefix="1" applyFont="1" applyBorder="1" applyAlignment="1">
      <alignment horizontal="center" vertical="center" wrapText="1"/>
    </xf>
    <xf numFmtId="0" fontId="8" fillId="0" borderId="23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4" xfId="0" quotePrefix="1" applyFont="1" applyBorder="1" applyAlignment="1">
      <alignment horizontal="distributed" vertical="center" wrapText="1"/>
    </xf>
    <xf numFmtId="41" fontId="23" fillId="0" borderId="14" xfId="1" applyFont="1" applyBorder="1" applyAlignment="1">
      <alignment vertical="center"/>
    </xf>
    <xf numFmtId="41" fontId="23" fillId="3" borderId="14" xfId="1" applyFont="1" applyFill="1" applyBorder="1" applyAlignment="1">
      <alignment vertical="center"/>
    </xf>
    <xf numFmtId="41" fontId="29" fillId="0" borderId="14" xfId="1" applyFont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41" fontId="24" fillId="2" borderId="9" xfId="1" applyFont="1" applyFill="1" applyBorder="1" applyAlignment="1">
      <alignment vertical="center"/>
    </xf>
    <xf numFmtId="41" fontId="23" fillId="2" borderId="9" xfId="1" applyFont="1" applyFill="1" applyBorder="1" applyAlignment="1">
      <alignment vertical="center"/>
    </xf>
    <xf numFmtId="0" fontId="23" fillId="0" borderId="14" xfId="2" applyFont="1" applyBorder="1" applyAlignment="1">
      <alignment horizontal="left" vertical="center"/>
    </xf>
    <xf numFmtId="0" fontId="23" fillId="0" borderId="14" xfId="2" applyFont="1" applyBorder="1" applyAlignment="1">
      <alignment horizontal="center" vertical="center"/>
    </xf>
    <xf numFmtId="0" fontId="23" fillId="3" borderId="14" xfId="2" applyFont="1" applyFill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4" xfId="4" quotePrefix="1" applyFont="1" applyBorder="1" applyAlignment="1">
      <alignment horizontal="left" vertical="center"/>
    </xf>
    <xf numFmtId="0" fontId="23" fillId="0" borderId="14" xfId="4" applyFont="1" applyBorder="1" applyAlignment="1">
      <alignment horizontal="left" vertical="center"/>
    </xf>
    <xf numFmtId="176" fontId="23" fillId="3" borderId="14" xfId="3" applyNumberFormat="1" applyFont="1" applyFill="1" applyBorder="1" applyAlignment="1">
      <alignment horizontal="center" vertical="center"/>
    </xf>
    <xf numFmtId="41" fontId="24" fillId="2" borderId="9" xfId="3" applyFont="1" applyFill="1" applyBorder="1" applyAlignment="1">
      <alignment vertical="center"/>
    </xf>
    <xf numFmtId="0" fontId="23" fillId="2" borderId="9" xfId="4" applyFont="1" applyFill="1" applyBorder="1" applyAlignment="1">
      <alignment vertical="center"/>
    </xf>
    <xf numFmtId="0" fontId="23" fillId="3" borderId="14" xfId="2" applyFont="1" applyFill="1" applyBorder="1" applyAlignment="1">
      <alignment horizontal="center" vertical="center"/>
    </xf>
    <xf numFmtId="0" fontId="23" fillId="3" borderId="14" xfId="3" applyNumberFormat="1" applyFont="1" applyFill="1" applyBorder="1" applyAlignment="1">
      <alignment horizontal="center" vertical="center"/>
    </xf>
    <xf numFmtId="180" fontId="23" fillId="3" borderId="14" xfId="3" applyNumberFormat="1" applyFont="1" applyFill="1" applyBorder="1" applyAlignment="1">
      <alignment horizontal="center" vertical="center"/>
    </xf>
    <xf numFmtId="0" fontId="23" fillId="3" borderId="22" xfId="2" applyFont="1" applyFill="1" applyBorder="1" applyAlignment="1">
      <alignment horizontal="left" vertical="center"/>
    </xf>
    <xf numFmtId="0" fontId="23" fillId="3" borderId="23" xfId="2" applyFont="1" applyFill="1" applyBorder="1" applyAlignment="1">
      <alignment horizontal="left" vertical="center"/>
    </xf>
    <xf numFmtId="0" fontId="23" fillId="0" borderId="22" xfId="4" quotePrefix="1" applyFont="1" applyBorder="1" applyAlignment="1">
      <alignment horizontal="left" vertical="center"/>
    </xf>
    <xf numFmtId="0" fontId="23" fillId="0" borderId="23" xfId="4" quotePrefix="1" applyFont="1" applyBorder="1" applyAlignment="1">
      <alignment horizontal="left" vertical="center"/>
    </xf>
    <xf numFmtId="0" fontId="23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2" xfId="4" applyFont="1" applyBorder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5" fillId="0" borderId="23" xfId="0" applyFont="1" applyBorder="1" applyAlignment="1">
      <alignment vertical="center"/>
    </xf>
    <xf numFmtId="0" fontId="8" fillId="0" borderId="14" xfId="2" applyFont="1" applyBorder="1" applyAlignment="1">
      <alignment horizontal="center" vertical="center"/>
    </xf>
    <xf numFmtId="0" fontId="8" fillId="3" borderId="14" xfId="2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4" quotePrefix="1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22" xfId="4" quotePrefix="1" applyFont="1" applyBorder="1" applyAlignment="1">
      <alignment horizontal="left" vertical="center"/>
    </xf>
    <xf numFmtId="0" fontId="8" fillId="0" borderId="23" xfId="4" quotePrefix="1" applyFont="1" applyBorder="1" applyAlignment="1">
      <alignment horizontal="left" vertical="center"/>
    </xf>
    <xf numFmtId="176" fontId="8" fillId="3" borderId="14" xfId="3" applyNumberFormat="1" applyFont="1" applyFill="1" applyBorder="1" applyAlignment="1">
      <alignment horizontal="center" vertical="center"/>
    </xf>
    <xf numFmtId="0" fontId="8" fillId="0" borderId="22" xfId="4" applyFont="1" applyBorder="1" applyAlignment="1">
      <alignment horizontal="left" vertical="center"/>
    </xf>
    <xf numFmtId="0" fontId="8" fillId="0" borderId="24" xfId="4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1" fontId="26" fillId="2" borderId="9" xfId="3" applyFont="1" applyFill="1" applyBorder="1" applyAlignment="1">
      <alignment vertical="center"/>
    </xf>
    <xf numFmtId="0" fontId="8" fillId="2" borderId="9" xfId="4" applyFont="1" applyFill="1" applyBorder="1" applyAlignment="1">
      <alignment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14" xfId="3" applyNumberFormat="1" applyFont="1" applyFill="1" applyBorder="1" applyAlignment="1">
      <alignment horizontal="center" vertical="center"/>
    </xf>
    <xf numFmtId="180" fontId="8" fillId="3" borderId="14" xfId="3" applyNumberFormat="1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7" fillId="0" borderId="23" xfId="0" applyFont="1" applyBorder="1" applyAlignment="1">
      <alignment vertical="center"/>
    </xf>
    <xf numFmtId="0" fontId="6" fillId="0" borderId="14" xfId="2" applyFont="1" applyBorder="1" applyAlignment="1">
      <alignment horizontal="center" vertical="center"/>
    </xf>
    <xf numFmtId="0" fontId="6" fillId="0" borderId="14" xfId="4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1" fillId="3" borderId="14" xfId="4" applyFont="1" applyFill="1" applyBorder="1" applyAlignment="1">
      <alignment horizontal="left" vertical="center"/>
    </xf>
    <xf numFmtId="0" fontId="21" fillId="3" borderId="14" xfId="2" applyFont="1" applyFill="1" applyBorder="1" applyAlignment="1">
      <alignment horizontal="center" vertical="center"/>
    </xf>
    <xf numFmtId="0" fontId="21" fillId="0" borderId="14" xfId="2" applyFont="1" applyBorder="1" applyAlignment="1">
      <alignment horizontal="left" vertical="center"/>
    </xf>
    <xf numFmtId="0" fontId="8" fillId="0" borderId="14" xfId="4" quotePrefix="1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3" borderId="22" xfId="2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1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2" fillId="0" borderId="0" xfId="5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184" fontId="18" fillId="0" borderId="14" xfId="0" applyNumberFormat="1" applyFont="1" applyBorder="1" applyAlignment="1">
      <alignment vertical="center" wrapText="1"/>
    </xf>
    <xf numFmtId="185" fontId="18" fillId="0" borderId="14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19" fillId="0" borderId="14" xfId="0" quotePrefix="1" applyFont="1" applyBorder="1" applyAlignment="1">
      <alignment horizontal="center" vertical="center"/>
    </xf>
  </cellXfs>
  <cellStyles count="7">
    <cellStyle name="백분율 2" xfId="6" xr:uid="{12FF93FC-6DBD-4B08-A551-94C1D4F534A8}"/>
    <cellStyle name="쉼표 [0]" xfId="1" builtinId="6"/>
    <cellStyle name="쉼표 [0] 2" xfId="3" xr:uid="{845D0317-FBA1-4DAC-86AC-8541C1A7E8E7}"/>
    <cellStyle name="표준" xfId="0" builtinId="0"/>
    <cellStyle name="표준 2" xfId="4" xr:uid="{7CF39AF8-112C-4B1A-96F4-C0A393B0E8F5}"/>
    <cellStyle name="표준 3" xfId="5" xr:uid="{6249AF53-71C4-4A74-B853-EE019DEEB2D1}"/>
    <cellStyle name="표준_세대(이만형)" xfId="2" xr:uid="{012CF1E9-8C82-4A5D-954E-DF2E3B5673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28;&#50557;\2025\&#44221;&#44592;&#46020;%20&#50612;&#47536;&#51060;%20&#48149;&#47932;&#44288;\&#45236;&#50669;&#49436;\4.%20&#45433;&#49353;&#51109;&#45212;&#44048;&#46020;&#49436;&#44288;%20&#54872;&#44221;&#44060;&#49440;&#44277;&#49324;%20&#45236;&#50669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중기단가목록"/>
      <sheetName val="중기단가산출서"/>
      <sheetName val="단가대비표"/>
      <sheetName val=" 공사설정 "/>
      <sheetName val="Sheet1"/>
    </sheetNames>
    <sheetDataSet>
      <sheetData sheetId="0"/>
      <sheetData sheetId="1"/>
      <sheetData sheetId="2"/>
      <sheetData sheetId="3">
        <row r="15">
          <cell r="E15">
            <v>3925</v>
          </cell>
          <cell r="F15">
            <v>13907</v>
          </cell>
          <cell r="G15">
            <v>278</v>
          </cell>
        </row>
        <row r="31">
          <cell r="E31">
            <v>0</v>
          </cell>
          <cell r="F31">
            <v>13907</v>
          </cell>
          <cell r="G31">
            <v>278</v>
          </cell>
        </row>
        <row r="33">
          <cell r="E33">
            <v>0</v>
          </cell>
          <cell r="F33">
            <v>7607</v>
          </cell>
          <cell r="G33">
            <v>152</v>
          </cell>
        </row>
        <row r="34">
          <cell r="E34">
            <v>256</v>
          </cell>
          <cell r="F34">
            <v>0</v>
          </cell>
          <cell r="G34">
            <v>0</v>
          </cell>
        </row>
        <row r="35">
          <cell r="E35">
            <v>0</v>
          </cell>
          <cell r="F35">
            <v>2682</v>
          </cell>
          <cell r="G35">
            <v>0</v>
          </cell>
        </row>
        <row r="41">
          <cell r="E41">
            <v>0</v>
          </cell>
          <cell r="F41">
            <v>5584</v>
          </cell>
          <cell r="G41">
            <v>0</v>
          </cell>
        </row>
        <row r="42">
          <cell r="E42">
            <v>0</v>
          </cell>
          <cell r="F42">
            <v>16225</v>
          </cell>
          <cell r="G42">
            <v>324</v>
          </cell>
        </row>
        <row r="43">
          <cell r="E43">
            <v>523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5133</v>
          </cell>
          <cell r="G44">
            <v>0</v>
          </cell>
        </row>
        <row r="45">
          <cell r="E45">
            <v>466</v>
          </cell>
          <cell r="F45">
            <v>0</v>
          </cell>
          <cell r="G45">
            <v>0</v>
          </cell>
        </row>
        <row r="46">
          <cell r="E46">
            <v>0</v>
          </cell>
          <cell r="F46">
            <v>7371</v>
          </cell>
          <cell r="G46">
            <v>0</v>
          </cell>
        </row>
        <row r="47">
          <cell r="E47">
            <v>0</v>
          </cell>
          <cell r="F47">
            <v>73253</v>
          </cell>
          <cell r="G47">
            <v>2197</v>
          </cell>
        </row>
        <row r="48">
          <cell r="E48">
            <v>0</v>
          </cell>
          <cell r="F48">
            <v>4542</v>
          </cell>
          <cell r="G48">
            <v>0</v>
          </cell>
        </row>
        <row r="49">
          <cell r="E49">
            <v>1022</v>
          </cell>
          <cell r="F49">
            <v>15727</v>
          </cell>
          <cell r="G49">
            <v>314</v>
          </cell>
        </row>
        <row r="50">
          <cell r="E50">
            <v>1515</v>
          </cell>
          <cell r="F50">
            <v>0</v>
          </cell>
          <cell r="G50">
            <v>0</v>
          </cell>
        </row>
        <row r="51">
          <cell r="E51">
            <v>0</v>
          </cell>
          <cell r="F51">
            <v>1443</v>
          </cell>
          <cell r="G51">
            <v>129</v>
          </cell>
        </row>
        <row r="52">
          <cell r="E52">
            <v>1165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6438</v>
          </cell>
          <cell r="G53">
            <v>0</v>
          </cell>
        </row>
      </sheetData>
      <sheetData sheetId="4"/>
      <sheetData sheetId="5"/>
      <sheetData sheetId="6"/>
      <sheetData sheetId="7">
        <row r="6">
          <cell r="O6">
            <v>7308</v>
          </cell>
          <cell r="P6">
            <v>0</v>
          </cell>
          <cell r="V6">
            <v>0</v>
          </cell>
        </row>
        <row r="7">
          <cell r="O7">
            <v>3811</v>
          </cell>
          <cell r="P7">
            <v>0</v>
          </cell>
          <cell r="V7">
            <v>0</v>
          </cell>
        </row>
        <row r="9">
          <cell r="O9">
            <v>1218</v>
          </cell>
          <cell r="P9">
            <v>0</v>
          </cell>
          <cell r="V9">
            <v>0</v>
          </cell>
        </row>
        <row r="10">
          <cell r="O10">
            <v>200</v>
          </cell>
          <cell r="P10">
            <v>0</v>
          </cell>
          <cell r="V10">
            <v>0</v>
          </cell>
        </row>
        <row r="11">
          <cell r="O11">
            <v>7342</v>
          </cell>
          <cell r="P11">
            <v>0</v>
          </cell>
          <cell r="V11">
            <v>0</v>
          </cell>
        </row>
        <row r="12">
          <cell r="O12">
            <v>141</v>
          </cell>
          <cell r="P12">
            <v>0</v>
          </cell>
          <cell r="V12">
            <v>0</v>
          </cell>
        </row>
        <row r="13">
          <cell r="O13">
            <v>0</v>
          </cell>
          <cell r="P13">
            <v>0</v>
          </cell>
          <cell r="V13">
            <v>0</v>
          </cell>
        </row>
        <row r="14">
          <cell r="O14">
            <v>34000</v>
          </cell>
          <cell r="P14">
            <v>0</v>
          </cell>
          <cell r="V14">
            <v>0</v>
          </cell>
        </row>
        <row r="15">
          <cell r="O15">
            <v>1728</v>
          </cell>
          <cell r="P15">
            <v>0</v>
          </cell>
          <cell r="V15">
            <v>0</v>
          </cell>
        </row>
        <row r="17">
          <cell r="O17">
            <v>2140</v>
          </cell>
          <cell r="P17">
            <v>0</v>
          </cell>
          <cell r="V17">
            <v>0</v>
          </cell>
        </row>
        <row r="18">
          <cell r="O18">
            <v>2580</v>
          </cell>
          <cell r="P18">
            <v>0</v>
          </cell>
          <cell r="V18">
            <v>0</v>
          </cell>
        </row>
        <row r="19">
          <cell r="O19">
            <v>250</v>
          </cell>
          <cell r="P19">
            <v>0</v>
          </cell>
          <cell r="V19">
            <v>0</v>
          </cell>
        </row>
        <row r="20">
          <cell r="O20">
            <v>1410</v>
          </cell>
          <cell r="P20">
            <v>0</v>
          </cell>
          <cell r="V20">
            <v>0</v>
          </cell>
        </row>
        <row r="21">
          <cell r="O21">
            <v>285</v>
          </cell>
          <cell r="P21">
            <v>0</v>
          </cell>
          <cell r="V21">
            <v>0</v>
          </cell>
        </row>
        <row r="22">
          <cell r="O22">
            <v>10.1</v>
          </cell>
          <cell r="P22">
            <v>0</v>
          </cell>
          <cell r="V22">
            <v>0</v>
          </cell>
        </row>
        <row r="23">
          <cell r="O23">
            <v>13.7</v>
          </cell>
          <cell r="P23">
            <v>0</v>
          </cell>
          <cell r="V23">
            <v>0</v>
          </cell>
        </row>
        <row r="27">
          <cell r="O27">
            <v>180000</v>
          </cell>
          <cell r="P27">
            <v>0</v>
          </cell>
          <cell r="V27">
            <v>0</v>
          </cell>
        </row>
        <row r="28">
          <cell r="O28">
            <v>7.2</v>
          </cell>
          <cell r="P28">
            <v>0</v>
          </cell>
          <cell r="V28">
            <v>0</v>
          </cell>
        </row>
        <row r="33">
          <cell r="O33">
            <v>200</v>
          </cell>
          <cell r="P33">
            <v>0</v>
          </cell>
          <cell r="V33">
            <v>0</v>
          </cell>
        </row>
        <row r="34">
          <cell r="O34">
            <v>1180</v>
          </cell>
          <cell r="P34">
            <v>0</v>
          </cell>
          <cell r="V34">
            <v>0</v>
          </cell>
        </row>
        <row r="35">
          <cell r="O35">
            <v>2100</v>
          </cell>
          <cell r="P35">
            <v>0</v>
          </cell>
          <cell r="V35">
            <v>0</v>
          </cell>
        </row>
        <row r="38">
          <cell r="O38">
            <v>752</v>
          </cell>
          <cell r="P38">
            <v>0</v>
          </cell>
          <cell r="V38">
            <v>0</v>
          </cell>
        </row>
        <row r="39">
          <cell r="O39">
            <v>1020</v>
          </cell>
          <cell r="P39">
            <v>0</v>
          </cell>
          <cell r="V39">
            <v>0</v>
          </cell>
        </row>
        <row r="40">
          <cell r="O40">
            <v>73</v>
          </cell>
          <cell r="P40">
            <v>0</v>
          </cell>
          <cell r="V40">
            <v>0</v>
          </cell>
        </row>
        <row r="41">
          <cell r="O41">
            <v>1150</v>
          </cell>
          <cell r="P41">
            <v>0</v>
          </cell>
          <cell r="V41">
            <v>0</v>
          </cell>
        </row>
        <row r="42">
          <cell r="O42">
            <v>84000</v>
          </cell>
          <cell r="P42">
            <v>0</v>
          </cell>
          <cell r="V42">
            <v>0</v>
          </cell>
        </row>
        <row r="47">
          <cell r="O47">
            <v>5583.33</v>
          </cell>
          <cell r="P47">
            <v>0</v>
          </cell>
          <cell r="V47">
            <v>0</v>
          </cell>
        </row>
        <row r="48">
          <cell r="O48">
            <v>2470</v>
          </cell>
          <cell r="P48">
            <v>0</v>
          </cell>
          <cell r="V48">
            <v>0</v>
          </cell>
        </row>
        <row r="49">
          <cell r="O49">
            <v>9433</v>
          </cell>
          <cell r="P49">
            <v>0</v>
          </cell>
          <cell r="V49">
            <v>0</v>
          </cell>
        </row>
        <row r="53">
          <cell r="O53">
            <v>42121</v>
          </cell>
          <cell r="P53">
            <v>19979</v>
          </cell>
          <cell r="V53">
            <v>0</v>
          </cell>
        </row>
        <row r="55">
          <cell r="O55">
            <v>0</v>
          </cell>
          <cell r="P55">
            <v>138989</v>
          </cell>
          <cell r="V55">
            <v>0</v>
          </cell>
        </row>
        <row r="56">
          <cell r="O56">
            <v>0</v>
          </cell>
          <cell r="P56">
            <v>194315</v>
          </cell>
          <cell r="V56">
            <v>0</v>
          </cell>
        </row>
        <row r="57">
          <cell r="O57">
            <v>0</v>
          </cell>
          <cell r="P57">
            <v>217895</v>
          </cell>
          <cell r="V57">
            <v>0</v>
          </cell>
        </row>
        <row r="58">
          <cell r="O58">
            <v>0</v>
          </cell>
          <cell r="P58">
            <v>205617</v>
          </cell>
          <cell r="V58">
            <v>0</v>
          </cell>
        </row>
        <row r="60">
          <cell r="O60">
            <v>0</v>
          </cell>
          <cell r="P60">
            <v>200386</v>
          </cell>
          <cell r="V60">
            <v>0</v>
          </cell>
        </row>
        <row r="61">
          <cell r="O61">
            <v>0</v>
          </cell>
          <cell r="P61">
            <v>206710</v>
          </cell>
          <cell r="V61">
            <v>0</v>
          </cell>
        </row>
        <row r="62">
          <cell r="O62">
            <v>0</v>
          </cell>
          <cell r="P62">
            <v>179138</v>
          </cell>
          <cell r="V62">
            <v>0</v>
          </cell>
        </row>
        <row r="63">
          <cell r="O63">
            <v>0</v>
          </cell>
          <cell r="P63">
            <v>181699</v>
          </cell>
          <cell r="V63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6C40-50D2-4B07-B09B-FB260447D631}">
  <dimension ref="A1:M29"/>
  <sheetViews>
    <sheetView tabSelected="1" view="pageBreakPreview" zoomScale="89" zoomScaleNormal="100" zoomScaleSheetLayoutView="89" workbookViewId="0">
      <selection activeCell="A11" sqref="A11:M11"/>
    </sheetView>
  </sheetViews>
  <sheetFormatPr defaultRowHeight="16.5" x14ac:dyDescent="0.3"/>
  <sheetData>
    <row r="1" spans="1:13" x14ac:dyDescent="0.3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3">
      <c r="A2" s="60"/>
      <c r="M2" s="61"/>
    </row>
    <row r="3" spans="1:13" x14ac:dyDescent="0.3">
      <c r="A3" s="60"/>
      <c r="M3" s="61"/>
    </row>
    <row r="4" spans="1:13" x14ac:dyDescent="0.3">
      <c r="A4" s="60"/>
      <c r="M4" s="61"/>
    </row>
    <row r="5" spans="1:13" x14ac:dyDescent="0.3">
      <c r="A5" s="60"/>
      <c r="M5" s="61"/>
    </row>
    <row r="6" spans="1:13" x14ac:dyDescent="0.3">
      <c r="A6" s="60"/>
      <c r="M6" s="61"/>
    </row>
    <row r="7" spans="1:13" x14ac:dyDescent="0.3">
      <c r="A7" s="60"/>
      <c r="M7" s="61"/>
    </row>
    <row r="8" spans="1:13" x14ac:dyDescent="0.3">
      <c r="A8" s="60"/>
      <c r="M8" s="61"/>
    </row>
    <row r="9" spans="1:13" x14ac:dyDescent="0.3">
      <c r="A9" s="60"/>
      <c r="M9" s="61"/>
    </row>
    <row r="10" spans="1:13" x14ac:dyDescent="0.3">
      <c r="A10" s="60"/>
      <c r="M10" s="61"/>
    </row>
    <row r="11" spans="1:13" x14ac:dyDescent="0.3">
      <c r="A11" s="192" t="s">
        <v>829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</row>
    <row r="12" spans="1:13" x14ac:dyDescent="0.3">
      <c r="A12" s="60"/>
      <c r="M12" s="61"/>
    </row>
    <row r="13" spans="1:13" x14ac:dyDescent="0.3">
      <c r="A13" s="60"/>
      <c r="M13" s="61"/>
    </row>
    <row r="14" spans="1:13" x14ac:dyDescent="0.3">
      <c r="A14" s="60"/>
      <c r="M14" s="61"/>
    </row>
    <row r="15" spans="1:13" x14ac:dyDescent="0.3">
      <c r="A15" s="60"/>
      <c r="M15" s="61"/>
    </row>
    <row r="16" spans="1:13" x14ac:dyDescent="0.3">
      <c r="A16" s="60"/>
      <c r="M16" s="61"/>
    </row>
    <row r="17" spans="1:13" x14ac:dyDescent="0.3">
      <c r="A17" s="60"/>
      <c r="M17" s="61"/>
    </row>
    <row r="18" spans="1:13" x14ac:dyDescent="0.3">
      <c r="A18" s="60"/>
      <c r="M18" s="61"/>
    </row>
    <row r="19" spans="1:13" x14ac:dyDescent="0.3">
      <c r="A19" s="60"/>
      <c r="M19" s="61"/>
    </row>
    <row r="20" spans="1:13" x14ac:dyDescent="0.3">
      <c r="A20" s="60"/>
      <c r="M20" s="61"/>
    </row>
    <row r="21" spans="1:13" x14ac:dyDescent="0.3">
      <c r="A21" s="60"/>
      <c r="M21" s="61"/>
    </row>
    <row r="22" spans="1:13" x14ac:dyDescent="0.3">
      <c r="A22" s="60"/>
      <c r="M22" s="61"/>
    </row>
    <row r="23" spans="1:13" x14ac:dyDescent="0.3">
      <c r="A23" s="60"/>
      <c r="M23" s="61"/>
    </row>
    <row r="24" spans="1:13" x14ac:dyDescent="0.3">
      <c r="A24" s="60"/>
      <c r="M24" s="61"/>
    </row>
    <row r="25" spans="1:13" x14ac:dyDescent="0.3">
      <c r="A25" s="60"/>
      <c r="M25" s="61"/>
    </row>
    <row r="26" spans="1:13" x14ac:dyDescent="0.3">
      <c r="A26" s="60"/>
      <c r="M26" s="61"/>
    </row>
    <row r="27" spans="1:13" x14ac:dyDescent="0.3">
      <c r="A27" s="60"/>
      <c r="M27" s="61"/>
    </row>
    <row r="28" spans="1:13" x14ac:dyDescent="0.3">
      <c r="A28" s="60"/>
      <c r="M28" s="61"/>
    </row>
    <row r="29" spans="1:13" x14ac:dyDescent="0.3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</row>
  </sheetData>
  <mergeCells count="1">
    <mergeCell ref="A11:M11"/>
  </mergeCells>
  <phoneticPr fontId="3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B04E-5F17-4063-BEDA-39AAAAD042F4}">
  <dimension ref="A1:P26"/>
  <sheetViews>
    <sheetView view="pageBreakPreview" zoomScale="120" zoomScaleNormal="100" zoomScaleSheetLayoutView="120" workbookViewId="0">
      <selection activeCell="G15" sqref="G15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769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14" customFormat="1" ht="19.5" customHeight="1" x14ac:dyDescent="0.3">
      <c r="A4" s="232" t="s">
        <v>770</v>
      </c>
      <c r="B4" s="233"/>
      <c r="C4" s="132" t="s">
        <v>771</v>
      </c>
      <c r="D4" s="118" t="s">
        <v>76</v>
      </c>
      <c r="E4" s="129">
        <v>0.75</v>
      </c>
      <c r="F4" s="115"/>
      <c r="G4" s="116"/>
      <c r="H4" s="115"/>
      <c r="I4" s="116"/>
      <c r="J4" s="115"/>
      <c r="K4" s="121"/>
    </row>
    <row r="5" spans="1:16" s="13" customFormat="1" ht="19.5" customHeight="1" x14ac:dyDescent="0.3">
      <c r="A5" s="234" t="s">
        <v>550</v>
      </c>
      <c r="B5" s="235"/>
      <c r="C5" s="17" t="s">
        <v>710</v>
      </c>
      <c r="D5" s="118" t="s">
        <v>76</v>
      </c>
      <c r="E5" s="130">
        <f>E4*4</f>
        <v>3</v>
      </c>
      <c r="F5" s="131">
        <v>8300</v>
      </c>
      <c r="G5" s="128">
        <f>F5*E5</f>
        <v>24900</v>
      </c>
      <c r="H5" s="127" t="s">
        <v>17</v>
      </c>
      <c r="I5" s="125" t="s">
        <v>17</v>
      </c>
      <c r="J5" s="127"/>
      <c r="K5" s="121">
        <f>G5</f>
        <v>24900</v>
      </c>
    </row>
    <row r="6" spans="1:16" s="13" customFormat="1" ht="21" customHeight="1" x14ac:dyDescent="0.3">
      <c r="A6" s="232" t="s">
        <v>730</v>
      </c>
      <c r="B6" s="233"/>
      <c r="C6" s="132" t="s">
        <v>772</v>
      </c>
      <c r="D6" s="118" t="s">
        <v>76</v>
      </c>
      <c r="E6" s="130">
        <f>E5*3</f>
        <v>9</v>
      </c>
      <c r="F6" s="133">
        <v>19000</v>
      </c>
      <c r="G6" s="116">
        <f>F6*E6</f>
        <v>171000</v>
      </c>
      <c r="H6" s="115"/>
      <c r="I6" s="116"/>
      <c r="J6" s="115"/>
      <c r="K6" s="125">
        <f t="shared" ref="K6" si="0">G6</f>
        <v>171000</v>
      </c>
      <c r="P6" s="134"/>
    </row>
    <row r="7" spans="1:16" s="13" customFormat="1" ht="21" customHeight="1" x14ac:dyDescent="0.3">
      <c r="A7" s="232" t="s">
        <v>130</v>
      </c>
      <c r="B7" s="233"/>
      <c r="C7" s="132" t="s">
        <v>131</v>
      </c>
      <c r="D7" s="118" t="s">
        <v>76</v>
      </c>
      <c r="E7" s="129">
        <f>E4*2</f>
        <v>1.5</v>
      </c>
      <c r="F7" s="133">
        <v>6300</v>
      </c>
      <c r="G7" s="116">
        <f>F7*E7</f>
        <v>9450</v>
      </c>
      <c r="H7" s="115"/>
      <c r="I7" s="125" t="s">
        <v>17</v>
      </c>
      <c r="J7" s="115"/>
      <c r="K7" s="121">
        <f t="shared" ref="K7" si="1">G7</f>
        <v>9450</v>
      </c>
      <c r="P7" s="134"/>
    </row>
    <row r="8" spans="1:16" s="13" customFormat="1" ht="19.5" customHeight="1" x14ac:dyDescent="0.3">
      <c r="A8" s="234" t="s">
        <v>548</v>
      </c>
      <c r="B8" s="235"/>
      <c r="C8" s="17" t="s">
        <v>17</v>
      </c>
      <c r="D8" s="15" t="s">
        <v>3</v>
      </c>
      <c r="E8" s="130">
        <f>0.34*E4*2</f>
        <v>0.51</v>
      </c>
      <c r="F8" s="131" t="s">
        <v>17</v>
      </c>
      <c r="G8" s="128"/>
      <c r="H8" s="127">
        <f>'  2025 하반기'!C24</f>
        <v>255231</v>
      </c>
      <c r="I8" s="125">
        <f t="shared" ref="I8:I9" si="2">H8*E8</f>
        <v>130167.81</v>
      </c>
      <c r="J8" s="127"/>
      <c r="K8" s="121">
        <f t="shared" ref="K8:K11" si="3">I8+G8</f>
        <v>130167.81</v>
      </c>
    </row>
    <row r="9" spans="1:16" s="114" customFormat="1" ht="19.5" customHeight="1" x14ac:dyDescent="0.3">
      <c r="A9" s="234" t="s">
        <v>549</v>
      </c>
      <c r="B9" s="235"/>
      <c r="C9" s="17" t="s">
        <v>17</v>
      </c>
      <c r="D9" s="15" t="s">
        <v>3</v>
      </c>
      <c r="E9" s="130">
        <f>0.21*E4*2</f>
        <v>0.315</v>
      </c>
      <c r="F9" s="131" t="s">
        <v>17</v>
      </c>
      <c r="G9" s="128"/>
      <c r="H9" s="127">
        <f>'  2025 하반기'!C8</f>
        <v>171037</v>
      </c>
      <c r="I9" s="125">
        <f t="shared" si="2"/>
        <v>53876.654999999999</v>
      </c>
      <c r="J9" s="127"/>
      <c r="K9" s="121">
        <f t="shared" si="3"/>
        <v>53876.654999999999</v>
      </c>
    </row>
    <row r="10" spans="1:16" s="13" customFormat="1" ht="19.5" customHeight="1" x14ac:dyDescent="0.3">
      <c r="A10" s="236" t="s">
        <v>49</v>
      </c>
      <c r="B10" s="236"/>
      <c r="C10" s="125"/>
      <c r="D10" s="126" t="s">
        <v>3</v>
      </c>
      <c r="E10" s="135">
        <f>0.34*E4*2</f>
        <v>0.51</v>
      </c>
      <c r="F10" s="127"/>
      <c r="G10" s="128"/>
      <c r="H10" s="127">
        <f>'  2025 하반기'!C23</f>
        <v>258362</v>
      </c>
      <c r="I10" s="125">
        <f>H10*E10</f>
        <v>131764.62</v>
      </c>
      <c r="J10" s="127"/>
      <c r="K10" s="121">
        <f t="shared" si="3"/>
        <v>131764.62</v>
      </c>
    </row>
    <row r="11" spans="1:16" s="13" customFormat="1" ht="19.5" customHeight="1" x14ac:dyDescent="0.3">
      <c r="A11" s="231" t="s">
        <v>733</v>
      </c>
      <c r="B11" s="231"/>
      <c r="C11" s="125"/>
      <c r="D11" s="126"/>
      <c r="E11" s="135"/>
      <c r="F11" s="127"/>
      <c r="G11" s="128">
        <f>SUM(G5:G10)</f>
        <v>205350</v>
      </c>
      <c r="H11" s="128" t="s">
        <v>17</v>
      </c>
      <c r="I11" s="128">
        <f t="shared" ref="I11" si="4">SUM(I5:I10)</f>
        <v>315809.08499999996</v>
      </c>
      <c r="J11" s="128"/>
      <c r="K11" s="121">
        <f t="shared" si="3"/>
        <v>521159.08499999996</v>
      </c>
    </row>
    <row r="12" spans="1:16" s="114" customFormat="1" ht="19.5" customHeight="1" x14ac:dyDescent="0.3">
      <c r="A12" s="232" t="s">
        <v>773</v>
      </c>
      <c r="B12" s="233"/>
      <c r="C12" s="132" t="s">
        <v>774</v>
      </c>
      <c r="D12" s="118" t="s">
        <v>76</v>
      </c>
      <c r="E12" s="129">
        <v>17.2</v>
      </c>
      <c r="F12" s="115"/>
      <c r="G12" s="116"/>
      <c r="H12" s="115"/>
      <c r="I12" s="116"/>
      <c r="J12" s="115"/>
      <c r="K12" s="121"/>
    </row>
    <row r="13" spans="1:16" s="13" customFormat="1" ht="19.5" customHeight="1" x14ac:dyDescent="0.3">
      <c r="A13" s="234" t="s">
        <v>548</v>
      </c>
      <c r="B13" s="235"/>
      <c r="C13" s="17" t="s">
        <v>17</v>
      </c>
      <c r="D13" s="15" t="s">
        <v>3</v>
      </c>
      <c r="E13" s="130">
        <f>0.34*E12</f>
        <v>5.8479999999999999</v>
      </c>
      <c r="F13" s="131" t="s">
        <v>17</v>
      </c>
      <c r="G13" s="128"/>
      <c r="H13" s="127">
        <f>'  2025 하반기'!C24</f>
        <v>255231</v>
      </c>
      <c r="I13" s="125">
        <f t="shared" ref="I13:I14" si="5">H13*E13</f>
        <v>1492590.888</v>
      </c>
      <c r="J13" s="127"/>
      <c r="K13" s="121">
        <f t="shared" ref="K13:K16" si="6">I13+G13</f>
        <v>1492590.888</v>
      </c>
    </row>
    <row r="14" spans="1:16" s="114" customFormat="1" ht="19.5" customHeight="1" x14ac:dyDescent="0.3">
      <c r="A14" s="234" t="s">
        <v>549</v>
      </c>
      <c r="B14" s="235"/>
      <c r="C14" s="17" t="s">
        <v>17</v>
      </c>
      <c r="D14" s="15" t="s">
        <v>3</v>
      </c>
      <c r="E14" s="130">
        <f>0.21*E12</f>
        <v>3.6119999999999997</v>
      </c>
      <c r="F14" s="131" t="s">
        <v>17</v>
      </c>
      <c r="G14" s="128"/>
      <c r="H14" s="127">
        <f>'  2025 하반기'!C8</f>
        <v>171037</v>
      </c>
      <c r="I14" s="125">
        <f t="shared" si="5"/>
        <v>617785.64399999997</v>
      </c>
      <c r="J14" s="127"/>
      <c r="K14" s="121">
        <f t="shared" si="6"/>
        <v>617785.64399999997</v>
      </c>
    </row>
    <row r="15" spans="1:16" s="13" customFormat="1" ht="19.5" customHeight="1" x14ac:dyDescent="0.3">
      <c r="A15" s="236" t="s">
        <v>49</v>
      </c>
      <c r="B15" s="236"/>
      <c r="C15" s="125"/>
      <c r="D15" s="126" t="s">
        <v>3</v>
      </c>
      <c r="E15" s="135">
        <f>0.34*E12</f>
        <v>5.8479999999999999</v>
      </c>
      <c r="F15" s="127"/>
      <c r="G15" s="128"/>
      <c r="H15" s="127">
        <f>'  2025 하반기'!C23</f>
        <v>258362</v>
      </c>
      <c r="I15" s="125">
        <f>H15*E15</f>
        <v>1510900.976</v>
      </c>
      <c r="J15" s="127"/>
      <c r="K15" s="121">
        <f t="shared" si="6"/>
        <v>1510900.976</v>
      </c>
    </row>
    <row r="16" spans="1:16" s="13" customFormat="1" ht="19.5" customHeight="1" x14ac:dyDescent="0.3">
      <c r="A16" s="231" t="s">
        <v>733</v>
      </c>
      <c r="B16" s="231"/>
      <c r="C16" s="125"/>
      <c r="D16" s="126"/>
      <c r="E16" s="135"/>
      <c r="F16" s="127"/>
      <c r="G16" s="128"/>
      <c r="H16" s="128" t="s">
        <v>17</v>
      </c>
      <c r="I16" s="128">
        <f>SUM(I13:I15)</f>
        <v>3621277.5080000004</v>
      </c>
      <c r="J16" s="128"/>
      <c r="K16" s="121">
        <f t="shared" si="6"/>
        <v>3621277.5080000004</v>
      </c>
    </row>
    <row r="17" spans="1:16" s="13" customFormat="1" ht="19.5" customHeight="1" x14ac:dyDescent="0.3">
      <c r="A17" s="234"/>
      <c r="B17" s="235"/>
      <c r="C17" s="17"/>
      <c r="D17" s="118"/>
      <c r="E17" s="130"/>
      <c r="F17" s="131"/>
      <c r="G17" s="128"/>
      <c r="H17" s="127"/>
      <c r="I17" s="125"/>
      <c r="J17" s="127"/>
      <c r="K17" s="121"/>
    </row>
    <row r="18" spans="1:16" s="13" customFormat="1" ht="21" customHeight="1" x14ac:dyDescent="0.3">
      <c r="A18" s="232"/>
      <c r="B18" s="233"/>
      <c r="C18" s="132"/>
      <c r="D18" s="118"/>
      <c r="E18" s="130"/>
      <c r="F18" s="133"/>
      <c r="G18" s="116"/>
      <c r="H18" s="115"/>
      <c r="I18" s="116"/>
      <c r="J18" s="115"/>
      <c r="K18" s="125"/>
      <c r="P18" s="134"/>
    </row>
    <row r="19" spans="1:16" s="13" customFormat="1" ht="21" customHeight="1" x14ac:dyDescent="0.3">
      <c r="A19" s="232"/>
      <c r="B19" s="233"/>
      <c r="C19" s="132"/>
      <c r="D19" s="118"/>
      <c r="E19" s="129"/>
      <c r="F19" s="133"/>
      <c r="G19" s="116"/>
      <c r="H19" s="115"/>
      <c r="I19" s="125"/>
      <c r="J19" s="115"/>
      <c r="K19" s="121"/>
      <c r="P19" s="134"/>
    </row>
    <row r="20" spans="1:16" x14ac:dyDescent="0.3">
      <c r="A20" s="236"/>
      <c r="B20" s="236"/>
      <c r="C20" s="125"/>
      <c r="D20" s="126"/>
      <c r="E20" s="135"/>
      <c r="F20" s="127"/>
      <c r="G20" s="128"/>
      <c r="H20" s="128"/>
      <c r="I20" s="128"/>
      <c r="J20" s="128"/>
      <c r="K20" s="121"/>
    </row>
    <row r="21" spans="1:16" x14ac:dyDescent="0.3">
      <c r="A21" s="236"/>
      <c r="B21" s="236"/>
      <c r="C21" s="125"/>
      <c r="D21" s="126"/>
      <c r="E21" s="135"/>
      <c r="F21" s="127"/>
      <c r="G21" s="128"/>
      <c r="H21" s="128"/>
      <c r="I21" s="128"/>
      <c r="J21" s="128"/>
      <c r="K21" s="121"/>
    </row>
    <row r="22" spans="1:16" x14ac:dyDescent="0.3">
      <c r="A22" s="236"/>
      <c r="B22" s="236"/>
      <c r="C22" s="125"/>
      <c r="D22" s="126"/>
      <c r="E22" s="135"/>
      <c r="F22" s="127"/>
      <c r="G22" s="128"/>
      <c r="H22" s="128"/>
      <c r="I22" s="128"/>
      <c r="J22" s="128"/>
      <c r="K22" s="121"/>
    </row>
    <row r="23" spans="1:16" x14ac:dyDescent="0.3">
      <c r="A23" s="236"/>
      <c r="B23" s="236"/>
      <c r="C23" s="125"/>
      <c r="D23" s="126"/>
      <c r="E23" s="135"/>
      <c r="F23" s="127"/>
      <c r="G23" s="128"/>
      <c r="H23" s="128"/>
      <c r="I23" s="128"/>
      <c r="J23" s="128"/>
      <c r="K23" s="121"/>
    </row>
    <row r="24" spans="1:16" x14ac:dyDescent="0.3">
      <c r="A24" s="236"/>
      <c r="B24" s="236"/>
      <c r="C24" s="125"/>
      <c r="D24" s="126"/>
      <c r="E24" s="135"/>
      <c r="F24" s="127"/>
      <c r="G24" s="128"/>
      <c r="H24" s="128"/>
      <c r="I24" s="128"/>
      <c r="J24" s="128"/>
      <c r="K24" s="121"/>
    </row>
    <row r="25" spans="1:16" x14ac:dyDescent="0.3">
      <c r="A25" s="236"/>
      <c r="B25" s="236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6" x14ac:dyDescent="0.3">
      <c r="A26" s="231" t="s">
        <v>12</v>
      </c>
      <c r="B26" s="231"/>
      <c r="C26" s="125"/>
      <c r="D26" s="126"/>
      <c r="E26" s="135"/>
      <c r="F26" s="127"/>
      <c r="G26" s="128">
        <f>G16+G11</f>
        <v>205350</v>
      </c>
      <c r="H26" s="128"/>
      <c r="I26" s="128">
        <f t="shared" ref="I26:K26" si="7">I16+I11</f>
        <v>3937086.5930000003</v>
      </c>
      <c r="J26" s="128"/>
      <c r="K26" s="128">
        <f t="shared" si="7"/>
        <v>4142436.5930000003</v>
      </c>
    </row>
  </sheetData>
  <mergeCells count="31">
    <mergeCell ref="F1:I1"/>
    <mergeCell ref="A2:B3"/>
    <mergeCell ref="C2:C3"/>
    <mergeCell ref="D2:D3"/>
    <mergeCell ref="E2:E3"/>
    <mergeCell ref="F2:G2"/>
    <mergeCell ref="H2:I2"/>
    <mergeCell ref="J2:K2"/>
    <mergeCell ref="A12:B12"/>
    <mergeCell ref="A17:B17"/>
    <mergeCell ref="A18:B18"/>
    <mergeCell ref="A19:B19"/>
    <mergeCell ref="A13:B13"/>
    <mergeCell ref="A20:B20"/>
    <mergeCell ref="A4:B4"/>
    <mergeCell ref="A5:B5"/>
    <mergeCell ref="A6:B6"/>
    <mergeCell ref="A7:B7"/>
    <mergeCell ref="A8:B8"/>
    <mergeCell ref="A9:B9"/>
    <mergeCell ref="A10:B10"/>
    <mergeCell ref="A11:B11"/>
    <mergeCell ref="A14:B14"/>
    <mergeCell ref="A15:B15"/>
    <mergeCell ref="A16:B16"/>
    <mergeCell ref="A26:B26"/>
    <mergeCell ref="A21:B21"/>
    <mergeCell ref="A22:B22"/>
    <mergeCell ref="A23:B23"/>
    <mergeCell ref="A24:B24"/>
    <mergeCell ref="A25:B25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D724-C863-47F3-B783-49A845C67CE6}">
  <dimension ref="A1:P27"/>
  <sheetViews>
    <sheetView view="pageBreakPreview" zoomScale="120" zoomScaleNormal="100" zoomScaleSheetLayoutView="120" workbookViewId="0">
      <selection activeCell="M22" sqref="M22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781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3" customFormat="1" ht="19.5" customHeight="1" x14ac:dyDescent="0.3">
      <c r="A4" s="235" t="s">
        <v>753</v>
      </c>
      <c r="B4" s="235"/>
      <c r="C4" s="153" t="s">
        <v>775</v>
      </c>
      <c r="D4" s="118" t="s">
        <v>76</v>
      </c>
      <c r="E4" s="119">
        <v>12.3</v>
      </c>
      <c r="F4" s="120"/>
      <c r="G4" s="121"/>
      <c r="H4" s="120"/>
      <c r="I4" s="121"/>
      <c r="J4" s="120"/>
      <c r="K4" s="121"/>
    </row>
    <row r="5" spans="1:16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f>(0.036*E4)*2</f>
        <v>0.88559999999999994</v>
      </c>
      <c r="F5" s="120"/>
      <c r="G5" s="121"/>
      <c r="H5" s="120">
        <f>'  2025 하반기'!C24</f>
        <v>255231</v>
      </c>
      <c r="I5" s="121">
        <f>E5*H5</f>
        <v>226032.57359999997</v>
      </c>
      <c r="J5" s="120"/>
      <c r="K5" s="121">
        <f>I5</f>
        <v>226032.57359999997</v>
      </c>
    </row>
    <row r="6" spans="1:16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0.63960000000000006</v>
      </c>
      <c r="F6" s="120"/>
      <c r="G6" s="121"/>
      <c r="H6" s="120">
        <f>'  2025 하반기'!C8</f>
        <v>171037</v>
      </c>
      <c r="I6" s="121">
        <f t="shared" ref="I6:I12" si="0">E6*H6</f>
        <v>109395.26520000001</v>
      </c>
      <c r="J6" s="120"/>
      <c r="K6" s="121">
        <f>I6</f>
        <v>109395.26520000001</v>
      </c>
    </row>
    <row r="7" spans="1:16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1">
        <f>SUM(I5:I6)</f>
        <v>335427.83879999997</v>
      </c>
      <c r="J7" s="128" t="s">
        <v>17</v>
      </c>
      <c r="K7" s="128">
        <f t="shared" ref="K7" si="1">INT(SUM(K5:K6))</f>
        <v>335427</v>
      </c>
    </row>
    <row r="8" spans="1:16" s="114" customFormat="1" ht="19.5" customHeight="1" x14ac:dyDescent="0.3">
      <c r="A8" s="231" t="s">
        <v>776</v>
      </c>
      <c r="B8" s="231"/>
      <c r="C8" s="125"/>
      <c r="D8" s="118"/>
      <c r="E8" s="129"/>
      <c r="F8" s="115"/>
      <c r="G8" s="116"/>
      <c r="H8" s="115"/>
      <c r="I8" s="121"/>
      <c r="J8" s="115"/>
      <c r="K8" s="121"/>
    </row>
    <row r="9" spans="1:16" s="13" customFormat="1" ht="19.5" customHeight="1" x14ac:dyDescent="0.3">
      <c r="A9" s="234" t="s">
        <v>548</v>
      </c>
      <c r="B9" s="235"/>
      <c r="C9" s="17"/>
      <c r="D9" s="118" t="s">
        <v>718</v>
      </c>
      <c r="E9" s="130">
        <v>8.5</v>
      </c>
      <c r="F9" s="131"/>
      <c r="G9" s="128"/>
      <c r="H9" s="127">
        <f>'  2025 하반기'!C24</f>
        <v>255231</v>
      </c>
      <c r="I9" s="121">
        <f t="shared" si="0"/>
        <v>2169463.5</v>
      </c>
      <c r="J9" s="127"/>
      <c r="K9" s="121">
        <f>I9</f>
        <v>2169463.5</v>
      </c>
    </row>
    <row r="10" spans="1:16" s="13" customFormat="1" ht="21" customHeight="1" x14ac:dyDescent="0.3">
      <c r="A10" s="234" t="s">
        <v>777</v>
      </c>
      <c r="B10" s="235"/>
      <c r="C10" s="17"/>
      <c r="D10" s="118" t="s">
        <v>718</v>
      </c>
      <c r="E10" s="130">
        <v>5.6</v>
      </c>
      <c r="F10" s="131"/>
      <c r="G10" s="128"/>
      <c r="H10" s="127">
        <f>'  2025 하반기'!C13</f>
        <v>237754</v>
      </c>
      <c r="I10" s="121">
        <f t="shared" si="0"/>
        <v>1331422.3999999999</v>
      </c>
      <c r="J10" s="127"/>
      <c r="K10" s="121">
        <f t="shared" ref="K10:K13" si="2">I10</f>
        <v>1331422.3999999999</v>
      </c>
    </row>
    <row r="11" spans="1:16" s="13" customFormat="1" ht="21" customHeight="1" x14ac:dyDescent="0.3">
      <c r="A11" s="232" t="s">
        <v>129</v>
      </c>
      <c r="B11" s="233"/>
      <c r="C11" s="132"/>
      <c r="D11" s="118" t="s">
        <v>718</v>
      </c>
      <c r="E11" s="129">
        <v>7</v>
      </c>
      <c r="F11" s="133"/>
      <c r="G11" s="116"/>
      <c r="H11" s="150">
        <f>'  2025 하반기'!C23</f>
        <v>258362</v>
      </c>
      <c r="I11" s="121">
        <f t="shared" si="0"/>
        <v>1808534</v>
      </c>
      <c r="J11" s="115"/>
      <c r="K11" s="121">
        <f t="shared" si="2"/>
        <v>1808534</v>
      </c>
      <c r="P11" s="134"/>
    </row>
    <row r="12" spans="1:16" s="114" customFormat="1" ht="19.5" customHeight="1" x14ac:dyDescent="0.3">
      <c r="A12" s="234" t="s">
        <v>549</v>
      </c>
      <c r="B12" s="235"/>
      <c r="C12" s="17"/>
      <c r="D12" s="15" t="s">
        <v>718</v>
      </c>
      <c r="E12" s="130">
        <v>12</v>
      </c>
      <c r="F12" s="131"/>
      <c r="G12" s="128"/>
      <c r="H12" s="127">
        <f>'  2025 하반기'!C8</f>
        <v>171037</v>
      </c>
      <c r="I12" s="121">
        <f t="shared" si="0"/>
        <v>2052444</v>
      </c>
      <c r="J12" s="127"/>
      <c r="K12" s="121">
        <f t="shared" si="2"/>
        <v>2052444</v>
      </c>
    </row>
    <row r="13" spans="1:16" s="13" customFormat="1" ht="19.5" customHeight="1" x14ac:dyDescent="0.3">
      <c r="A13" s="257" t="s">
        <v>733</v>
      </c>
      <c r="B13" s="258"/>
      <c r="C13" s="17"/>
      <c r="D13" s="15"/>
      <c r="E13" s="130"/>
      <c r="F13" s="131"/>
      <c r="G13" s="128"/>
      <c r="H13" s="127"/>
      <c r="I13" s="125">
        <f>SUM(I9:I12)</f>
        <v>7361863.9000000004</v>
      </c>
      <c r="J13" s="127"/>
      <c r="K13" s="121">
        <f t="shared" si="2"/>
        <v>7361863.9000000004</v>
      </c>
      <c r="M13" s="13" t="s">
        <v>17</v>
      </c>
    </row>
    <row r="14" spans="1:16" s="114" customFormat="1" ht="19.5" customHeight="1" x14ac:dyDescent="0.3">
      <c r="A14" s="234"/>
      <c r="B14" s="235"/>
      <c r="C14" s="17"/>
      <c r="D14" s="15"/>
      <c r="E14" s="130"/>
      <c r="F14" s="131"/>
      <c r="G14" s="128"/>
      <c r="H14" s="127"/>
      <c r="I14" s="125"/>
      <c r="J14" s="127"/>
      <c r="K14" s="121"/>
    </row>
    <row r="15" spans="1:16" s="13" customFormat="1" ht="19.5" customHeight="1" x14ac:dyDescent="0.3">
      <c r="A15" s="236"/>
      <c r="B15" s="236"/>
      <c r="C15" s="125"/>
      <c r="D15" s="126"/>
      <c r="E15" s="135"/>
      <c r="F15" s="127"/>
      <c r="G15" s="128"/>
      <c r="H15" s="127"/>
      <c r="I15" s="125"/>
      <c r="J15" s="127"/>
      <c r="K15" s="121"/>
    </row>
    <row r="16" spans="1:16" s="13" customFormat="1" ht="19.5" customHeight="1" x14ac:dyDescent="0.3">
      <c r="A16" s="234"/>
      <c r="B16" s="235"/>
      <c r="C16" s="17"/>
      <c r="D16" s="15"/>
      <c r="E16" s="130"/>
      <c r="F16" s="131"/>
      <c r="G16" s="128"/>
      <c r="H16" s="127"/>
      <c r="I16" s="125"/>
      <c r="J16" s="127"/>
      <c r="K16" s="121"/>
    </row>
    <row r="17" spans="1:11" s="13" customFormat="1" ht="19.5" customHeight="1" x14ac:dyDescent="0.3">
      <c r="A17" s="231"/>
      <c r="B17" s="231"/>
      <c r="C17" s="125"/>
      <c r="D17" s="126"/>
      <c r="E17" s="135"/>
      <c r="F17" s="127"/>
      <c r="G17" s="128"/>
      <c r="H17" s="128"/>
      <c r="I17" s="128"/>
      <c r="J17" s="128"/>
      <c r="K17" s="128"/>
    </row>
    <row r="18" spans="1:11" x14ac:dyDescent="0.3">
      <c r="A18" s="236"/>
      <c r="B18" s="236"/>
      <c r="C18" s="125"/>
      <c r="D18" s="126"/>
      <c r="E18" s="135"/>
      <c r="F18" s="127"/>
      <c r="G18" s="128"/>
      <c r="H18" s="128"/>
      <c r="I18" s="128"/>
      <c r="J18" s="128"/>
      <c r="K18" s="121"/>
    </row>
    <row r="19" spans="1:11" x14ac:dyDescent="0.3">
      <c r="A19" s="236"/>
      <c r="B19" s="236"/>
      <c r="C19" s="125"/>
      <c r="D19" s="126"/>
      <c r="E19" s="135"/>
      <c r="F19" s="127"/>
      <c r="G19" s="128"/>
      <c r="H19" s="128"/>
      <c r="I19" s="128"/>
      <c r="J19" s="128"/>
      <c r="K19" s="121"/>
    </row>
    <row r="20" spans="1:11" x14ac:dyDescent="0.3">
      <c r="A20" s="236"/>
      <c r="B20" s="236"/>
      <c r="C20" s="125"/>
      <c r="D20" s="126"/>
      <c r="E20" s="135"/>
      <c r="F20" s="127"/>
      <c r="G20" s="128"/>
      <c r="H20" s="128"/>
      <c r="I20" s="128"/>
      <c r="J20" s="128"/>
      <c r="K20" s="121"/>
    </row>
    <row r="21" spans="1:11" x14ac:dyDescent="0.3">
      <c r="A21" s="236"/>
      <c r="B21" s="236"/>
      <c r="C21" s="125"/>
      <c r="D21" s="126"/>
      <c r="E21" s="135"/>
      <c r="F21" s="127"/>
      <c r="G21" s="128"/>
      <c r="H21" s="128"/>
      <c r="I21" s="128"/>
      <c r="J21" s="128"/>
      <c r="K21" s="121"/>
    </row>
    <row r="22" spans="1:11" s="114" customFormat="1" ht="19.5" customHeight="1" x14ac:dyDescent="0.3">
      <c r="A22" s="235"/>
      <c r="B22" s="235"/>
      <c r="C22" s="117"/>
      <c r="D22" s="118"/>
      <c r="E22" s="119"/>
      <c r="F22" s="120"/>
      <c r="G22" s="121"/>
      <c r="H22" s="120"/>
      <c r="I22" s="122"/>
      <c r="J22" s="120"/>
      <c r="K22" s="121"/>
    </row>
    <row r="23" spans="1:11" x14ac:dyDescent="0.3">
      <c r="A23" s="236"/>
      <c r="B23" s="236"/>
      <c r="C23" s="125"/>
      <c r="D23" s="126"/>
      <c r="E23" s="135"/>
      <c r="F23" s="127"/>
      <c r="G23" s="128"/>
      <c r="H23" s="128"/>
      <c r="I23" s="128"/>
      <c r="J23" s="128"/>
      <c r="K23" s="121"/>
    </row>
    <row r="24" spans="1:11" x14ac:dyDescent="0.3">
      <c r="A24" s="236"/>
      <c r="B24" s="236"/>
      <c r="C24" s="125"/>
      <c r="D24" s="126"/>
      <c r="E24" s="135"/>
      <c r="F24" s="127"/>
      <c r="G24" s="128"/>
      <c r="H24" s="128"/>
      <c r="I24" s="128"/>
      <c r="J24" s="128"/>
      <c r="K24" s="121"/>
    </row>
    <row r="25" spans="1:11" x14ac:dyDescent="0.3">
      <c r="A25" s="236"/>
      <c r="B25" s="236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1" x14ac:dyDescent="0.3">
      <c r="A26" s="236"/>
      <c r="B26" s="236"/>
      <c r="C26" s="125"/>
      <c r="D26" s="126"/>
      <c r="E26" s="135"/>
      <c r="F26" s="127"/>
      <c r="G26" s="128"/>
      <c r="H26" s="128"/>
      <c r="I26" s="128"/>
      <c r="J26" s="128"/>
      <c r="K26" s="121"/>
    </row>
    <row r="27" spans="1:11" x14ac:dyDescent="0.3">
      <c r="A27" s="231" t="s">
        <v>12</v>
      </c>
      <c r="B27" s="231"/>
      <c r="C27" s="125"/>
      <c r="D27" s="126"/>
      <c r="E27" s="135"/>
      <c r="F27" s="127"/>
      <c r="G27" s="128" t="s">
        <v>17</v>
      </c>
      <c r="H27" s="128"/>
      <c r="I27" s="128">
        <f>I13+I7</f>
        <v>7697291.7388000004</v>
      </c>
      <c r="J27" s="128"/>
      <c r="K27" s="121">
        <f>K13+K7</f>
        <v>7697290.9000000004</v>
      </c>
    </row>
  </sheetData>
  <mergeCells count="32">
    <mergeCell ref="A8:B8"/>
    <mergeCell ref="F1:I1"/>
    <mergeCell ref="A2:B3"/>
    <mergeCell ref="C2:C3"/>
    <mergeCell ref="D2:D3"/>
    <mergeCell ref="E2:E3"/>
    <mergeCell ref="F2:G2"/>
    <mergeCell ref="H2:I2"/>
    <mergeCell ref="J2:K2"/>
    <mergeCell ref="A4:B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7B24-9F37-419B-B02C-B3BE57C2FB5B}">
  <dimension ref="A1:P27"/>
  <sheetViews>
    <sheetView view="pageBreakPreview" zoomScale="120" zoomScaleNormal="100" zoomScaleSheetLayoutView="120" workbookViewId="0">
      <selection activeCell="F15" sqref="F15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782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3" customFormat="1" ht="19.5" customHeight="1" x14ac:dyDescent="0.3">
      <c r="A4" s="235" t="s">
        <v>780</v>
      </c>
      <c r="B4" s="235"/>
      <c r="C4" s="117" t="s">
        <v>17</v>
      </c>
      <c r="D4" s="118" t="s">
        <v>76</v>
      </c>
      <c r="E4" s="119">
        <v>36.200000000000003</v>
      </c>
      <c r="F4" s="120"/>
      <c r="G4" s="121"/>
      <c r="H4" s="120"/>
      <c r="I4" s="121"/>
      <c r="J4" s="120"/>
      <c r="K4" s="121"/>
    </row>
    <row r="5" spans="1:16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f>(0.036*E4)*2</f>
        <v>2.6063999999999998</v>
      </c>
      <c r="F5" s="120"/>
      <c r="G5" s="121"/>
      <c r="H5" s="120">
        <f>'  2025 하반기'!C24</f>
        <v>255231</v>
      </c>
      <c r="I5" s="121">
        <f>E5*H5</f>
        <v>665234.0784</v>
      </c>
      <c r="J5" s="120"/>
      <c r="K5" s="121">
        <f>I5</f>
        <v>665234.0784</v>
      </c>
    </row>
    <row r="6" spans="1:16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1.8824000000000001</v>
      </c>
      <c r="F6" s="120"/>
      <c r="G6" s="121"/>
      <c r="H6" s="120">
        <f>'  2025 하반기'!C8</f>
        <v>171037</v>
      </c>
      <c r="I6" s="121">
        <f>E6*H6</f>
        <v>321960.04879999999</v>
      </c>
      <c r="J6" s="120"/>
      <c r="K6" s="121">
        <f>I6</f>
        <v>321960.04879999999</v>
      </c>
    </row>
    <row r="7" spans="1:16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987194</v>
      </c>
      <c r="J7" s="127"/>
      <c r="K7" s="128">
        <f>SUM(K5:K6)</f>
        <v>987194.12719999999</v>
      </c>
    </row>
    <row r="8" spans="1:16" s="114" customFormat="1" ht="19.5" customHeight="1" x14ac:dyDescent="0.3">
      <c r="A8" s="232" t="s">
        <v>778</v>
      </c>
      <c r="B8" s="233"/>
      <c r="C8" s="132" t="s">
        <v>779</v>
      </c>
      <c r="D8" s="118" t="s">
        <v>76</v>
      </c>
      <c r="E8" s="141">
        <v>28.24</v>
      </c>
      <c r="F8" s="115"/>
      <c r="G8" s="116"/>
      <c r="H8" s="115"/>
      <c r="I8" s="116"/>
      <c r="J8" s="115"/>
      <c r="K8" s="116"/>
    </row>
    <row r="9" spans="1:16" s="13" customFormat="1" ht="19.5" customHeight="1" x14ac:dyDescent="0.3">
      <c r="A9" s="232" t="s">
        <v>130</v>
      </c>
      <c r="B9" s="233"/>
      <c r="C9" s="132" t="s">
        <v>131</v>
      </c>
      <c r="D9" s="118" t="s">
        <v>76</v>
      </c>
      <c r="E9" s="151">
        <v>28.24</v>
      </c>
      <c r="F9" s="115">
        <v>6300</v>
      </c>
      <c r="G9" s="116">
        <f>F9*E9</f>
        <v>177912</v>
      </c>
      <c r="H9" s="115"/>
      <c r="I9" s="116"/>
      <c r="J9" s="115"/>
      <c r="K9" s="125">
        <f>G9</f>
        <v>177912</v>
      </c>
    </row>
    <row r="10" spans="1:16" s="13" customFormat="1" ht="21" customHeight="1" x14ac:dyDescent="0.3">
      <c r="A10" s="234" t="s">
        <v>548</v>
      </c>
      <c r="B10" s="235"/>
      <c r="C10" s="17" t="s">
        <v>17</v>
      </c>
      <c r="D10" s="15" t="s">
        <v>3</v>
      </c>
      <c r="E10" s="138">
        <f>(0.092*E9)*2</f>
        <v>5.1961599999999999</v>
      </c>
      <c r="F10" s="131" t="s">
        <v>17</v>
      </c>
      <c r="G10" s="128"/>
      <c r="H10" s="127">
        <f>'  2025 하반기'!C24</f>
        <v>255231</v>
      </c>
      <c r="I10" s="125">
        <f t="shared" ref="I10:I11" si="0">H10*E10</f>
        <v>1326221.1129600001</v>
      </c>
      <c r="J10" s="127"/>
      <c r="K10" s="125">
        <f>I10</f>
        <v>1326221.1129600001</v>
      </c>
    </row>
    <row r="11" spans="1:16" s="13" customFormat="1" ht="21" customHeight="1" x14ac:dyDescent="0.3">
      <c r="A11" s="234" t="s">
        <v>549</v>
      </c>
      <c r="B11" s="235"/>
      <c r="C11" s="17" t="s">
        <v>17</v>
      </c>
      <c r="D11" s="15" t="s">
        <v>3</v>
      </c>
      <c r="E11" s="138">
        <f>(0.09*E9)*2</f>
        <v>5.0831999999999997</v>
      </c>
      <c r="F11" s="131" t="s">
        <v>17</v>
      </c>
      <c r="G11" s="128"/>
      <c r="H11" s="127">
        <f>'  2025 하반기'!C8</f>
        <v>171037</v>
      </c>
      <c r="I11" s="125">
        <f t="shared" si="0"/>
        <v>869415.27839999995</v>
      </c>
      <c r="J11" s="127"/>
      <c r="K11" s="125">
        <f t="shared" ref="K11:K12" si="1">I11</f>
        <v>869415.27839999995</v>
      </c>
      <c r="P11" s="134"/>
    </row>
    <row r="12" spans="1:16" s="114" customFormat="1" ht="19.5" customHeight="1" x14ac:dyDescent="0.3">
      <c r="A12" s="235" t="s">
        <v>129</v>
      </c>
      <c r="B12" s="235"/>
      <c r="C12" s="125"/>
      <c r="D12" s="126" t="s">
        <v>3</v>
      </c>
      <c r="E12" s="156">
        <f>(0.043*E9)*2</f>
        <v>2.4286399999999997</v>
      </c>
      <c r="F12" s="127"/>
      <c r="G12" s="140" t="s">
        <v>17</v>
      </c>
      <c r="H12" s="127">
        <f>'  2025 하반기'!C23</f>
        <v>258362</v>
      </c>
      <c r="I12" s="128">
        <f>H12*E12</f>
        <v>627468.28767999995</v>
      </c>
      <c r="J12" s="127"/>
      <c r="K12" s="125">
        <f t="shared" si="1"/>
        <v>627468.28767999995</v>
      </c>
    </row>
    <row r="13" spans="1:16" s="13" customFormat="1" ht="19.5" customHeight="1" x14ac:dyDescent="0.3">
      <c r="A13" s="234"/>
      <c r="B13" s="235"/>
      <c r="C13" s="17"/>
      <c r="D13" s="15"/>
      <c r="E13" s="152"/>
      <c r="F13" s="131"/>
      <c r="G13" s="128"/>
      <c r="H13" s="127"/>
      <c r="I13" s="125"/>
      <c r="J13" s="127"/>
      <c r="K13" s="121"/>
      <c r="M13" s="13" t="s">
        <v>17</v>
      </c>
    </row>
    <row r="14" spans="1:16" s="114" customFormat="1" ht="19.5" customHeight="1" x14ac:dyDescent="0.3">
      <c r="A14" s="231" t="s">
        <v>6</v>
      </c>
      <c r="B14" s="231"/>
      <c r="C14" s="125"/>
      <c r="D14" s="142"/>
      <c r="E14" s="139"/>
      <c r="F14" s="127"/>
      <c r="G14" s="125">
        <f>SUM(G9:G13)</f>
        <v>177912</v>
      </c>
      <c r="H14" s="125"/>
      <c r="I14" s="125">
        <f t="shared" ref="I14" si="2">SUM(I9:I13)</f>
        <v>2823104.6790399998</v>
      </c>
      <c r="J14" s="125"/>
      <c r="K14" s="125">
        <f>SUM(K9:K13)</f>
        <v>3001016.6790399998</v>
      </c>
    </row>
    <row r="15" spans="1:16" s="13" customFormat="1" ht="19.5" customHeight="1" x14ac:dyDescent="0.3">
      <c r="A15" s="236"/>
      <c r="B15" s="236"/>
      <c r="C15" s="125"/>
      <c r="D15" s="126"/>
      <c r="E15" s="135"/>
      <c r="F15" s="127"/>
      <c r="G15" s="128"/>
      <c r="H15" s="127"/>
      <c r="I15" s="125"/>
      <c r="J15" s="127"/>
      <c r="K15" s="121"/>
    </row>
    <row r="16" spans="1:16" s="13" customFormat="1" ht="19.5" customHeight="1" x14ac:dyDescent="0.3">
      <c r="A16" s="234"/>
      <c r="B16" s="235"/>
      <c r="C16" s="17"/>
      <c r="D16" s="15"/>
      <c r="E16" s="130"/>
      <c r="F16" s="131"/>
      <c r="G16" s="128"/>
      <c r="H16" s="127"/>
      <c r="I16" s="125"/>
      <c r="J16" s="127"/>
      <c r="K16" s="121"/>
    </row>
    <row r="17" spans="1:11" s="13" customFormat="1" ht="19.5" customHeight="1" x14ac:dyDescent="0.3">
      <c r="A17" s="231"/>
      <c r="B17" s="231"/>
      <c r="C17" s="125"/>
      <c r="D17" s="126"/>
      <c r="E17" s="135"/>
      <c r="F17" s="127"/>
      <c r="G17" s="128"/>
      <c r="H17" s="128"/>
      <c r="I17" s="128"/>
      <c r="J17" s="128"/>
      <c r="K17" s="128"/>
    </row>
    <row r="18" spans="1:11" x14ac:dyDescent="0.3">
      <c r="A18" s="236"/>
      <c r="B18" s="236"/>
      <c r="C18" s="125"/>
      <c r="D18" s="126"/>
      <c r="E18" s="135"/>
      <c r="F18" s="127"/>
      <c r="G18" s="128"/>
      <c r="H18" s="128"/>
      <c r="I18" s="128"/>
      <c r="J18" s="128"/>
      <c r="K18" s="121"/>
    </row>
    <row r="19" spans="1:11" x14ac:dyDescent="0.3">
      <c r="A19" s="236"/>
      <c r="B19" s="236"/>
      <c r="C19" s="125"/>
      <c r="D19" s="126"/>
      <c r="E19" s="135"/>
      <c r="F19" s="127"/>
      <c r="G19" s="128"/>
      <c r="H19" s="128"/>
      <c r="I19" s="128"/>
      <c r="J19" s="128"/>
      <c r="K19" s="121"/>
    </row>
    <row r="20" spans="1:11" x14ac:dyDescent="0.3">
      <c r="A20" s="236"/>
      <c r="B20" s="236"/>
      <c r="C20" s="125"/>
      <c r="D20" s="126"/>
      <c r="E20" s="135"/>
      <c r="F20" s="127"/>
      <c r="G20" s="128"/>
      <c r="H20" s="128"/>
      <c r="I20" s="128"/>
      <c r="J20" s="128"/>
      <c r="K20" s="121"/>
    </row>
    <row r="21" spans="1:11" x14ac:dyDescent="0.3">
      <c r="A21" s="236"/>
      <c r="B21" s="236"/>
      <c r="C21" s="125"/>
      <c r="D21" s="126"/>
      <c r="E21" s="135"/>
      <c r="F21" s="127"/>
      <c r="G21" s="128"/>
      <c r="H21" s="128"/>
      <c r="I21" s="128"/>
      <c r="J21" s="128"/>
      <c r="K21" s="121"/>
    </row>
    <row r="22" spans="1:11" s="114" customFormat="1" ht="19.5" customHeight="1" x14ac:dyDescent="0.3">
      <c r="A22" s="235"/>
      <c r="B22" s="235"/>
      <c r="C22" s="117"/>
      <c r="D22" s="118"/>
      <c r="E22" s="119"/>
      <c r="F22" s="120"/>
      <c r="G22" s="121"/>
      <c r="H22" s="120"/>
      <c r="I22" s="122"/>
      <c r="J22" s="120"/>
      <c r="K22" s="121"/>
    </row>
    <row r="23" spans="1:11" x14ac:dyDescent="0.3">
      <c r="A23" s="236"/>
      <c r="B23" s="236"/>
      <c r="C23" s="125"/>
      <c r="D23" s="126"/>
      <c r="E23" s="135"/>
      <c r="F23" s="127"/>
      <c r="G23" s="128"/>
      <c r="H23" s="128"/>
      <c r="I23" s="128"/>
      <c r="J23" s="128"/>
      <c r="K23" s="121"/>
    </row>
    <row r="24" spans="1:11" x14ac:dyDescent="0.3">
      <c r="A24" s="236"/>
      <c r="B24" s="236"/>
      <c r="C24" s="125"/>
      <c r="D24" s="126"/>
      <c r="E24" s="135"/>
      <c r="F24" s="127"/>
      <c r="G24" s="128"/>
      <c r="H24" s="128"/>
      <c r="I24" s="128"/>
      <c r="J24" s="128"/>
      <c r="K24" s="121"/>
    </row>
    <row r="25" spans="1:11" x14ac:dyDescent="0.3">
      <c r="A25" s="236"/>
      <c r="B25" s="236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1" x14ac:dyDescent="0.3">
      <c r="A26" s="236"/>
      <c r="B26" s="236"/>
      <c r="C26" s="125"/>
      <c r="D26" s="126"/>
      <c r="E26" s="135"/>
      <c r="F26" s="127"/>
      <c r="G26" s="128"/>
      <c r="H26" s="128"/>
      <c r="I26" s="128"/>
      <c r="J26" s="128"/>
      <c r="K26" s="121"/>
    </row>
    <row r="27" spans="1:11" x14ac:dyDescent="0.3">
      <c r="A27" s="231" t="s">
        <v>12</v>
      </c>
      <c r="B27" s="231"/>
      <c r="C27" s="125"/>
      <c r="D27" s="126"/>
      <c r="E27" s="135"/>
      <c r="F27" s="127"/>
      <c r="G27" s="128">
        <f>G14</f>
        <v>177912</v>
      </c>
      <c r="H27" s="128"/>
      <c r="I27" s="128">
        <f>I14+I7</f>
        <v>3810298.6790399998</v>
      </c>
      <c r="J27" s="128"/>
      <c r="K27" s="121">
        <f>K7+K14</f>
        <v>3988210.8062399998</v>
      </c>
    </row>
  </sheetData>
  <mergeCells count="32">
    <mergeCell ref="A8:B8"/>
    <mergeCell ref="F1:I1"/>
    <mergeCell ref="A2:B3"/>
    <mergeCell ref="C2:C3"/>
    <mergeCell ref="D2:D3"/>
    <mergeCell ref="E2:E3"/>
    <mergeCell ref="F2:G2"/>
    <mergeCell ref="H2:I2"/>
    <mergeCell ref="J2:K2"/>
    <mergeCell ref="A4:B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10CB-D0FC-4F9C-B189-4E389FEA685A}">
  <dimension ref="A1:P26"/>
  <sheetViews>
    <sheetView view="pageBreakPreview" zoomScale="120" zoomScaleNormal="100" zoomScaleSheetLayoutView="120" workbookViewId="0">
      <selection activeCell="E22" sqref="E22"/>
    </sheetView>
  </sheetViews>
  <sheetFormatPr defaultColWidth="8.75" defaultRowHeight="16.5" x14ac:dyDescent="0.3"/>
  <cols>
    <col min="1" max="2" width="8.75" style="105"/>
    <col min="3" max="3" width="12.625" style="105" customWidth="1"/>
    <col min="4" max="4" width="5.25" style="105" customWidth="1"/>
    <col min="5" max="5" width="6.875" style="105" customWidth="1"/>
    <col min="6" max="6" width="10.75" style="105" customWidth="1"/>
    <col min="7" max="7" width="12" style="105" customWidth="1"/>
    <col min="8" max="8" width="10.375" style="105" customWidth="1"/>
    <col min="9" max="9" width="14.875" style="105" customWidth="1"/>
    <col min="10" max="10" width="13.375" style="105" customWidth="1"/>
    <col min="11" max="11" width="18.125" style="105" customWidth="1"/>
    <col min="12" max="16384" width="8.75" style="105"/>
  </cols>
  <sheetData>
    <row r="1" spans="1:16" s="65" customFormat="1" ht="19.5" customHeight="1" x14ac:dyDescent="0.3">
      <c r="A1" s="96" t="s">
        <v>0</v>
      </c>
      <c r="B1" s="97" t="s">
        <v>811</v>
      </c>
      <c r="C1" s="98"/>
      <c r="D1" s="99"/>
      <c r="E1" s="100" t="s">
        <v>17</v>
      </c>
      <c r="F1" s="216" t="s">
        <v>17</v>
      </c>
      <c r="G1" s="217"/>
      <c r="H1" s="217"/>
      <c r="I1" s="217"/>
      <c r="J1" s="101" t="s">
        <v>17</v>
      </c>
      <c r="K1" s="102" t="s">
        <v>17</v>
      </c>
    </row>
    <row r="2" spans="1:16" s="70" customFormat="1" ht="19.5" customHeight="1" x14ac:dyDescent="0.3">
      <c r="A2" s="218" t="s">
        <v>7</v>
      </c>
      <c r="B2" s="218"/>
      <c r="C2" s="219" t="s">
        <v>8</v>
      </c>
      <c r="D2" s="215" t="s">
        <v>9</v>
      </c>
      <c r="E2" s="220" t="s">
        <v>1</v>
      </c>
      <c r="F2" s="215" t="s">
        <v>10</v>
      </c>
      <c r="G2" s="215"/>
      <c r="H2" s="215" t="s">
        <v>11</v>
      </c>
      <c r="I2" s="215"/>
      <c r="J2" s="215" t="s">
        <v>12</v>
      </c>
      <c r="K2" s="215"/>
    </row>
    <row r="3" spans="1:16" s="70" customFormat="1" ht="19.5" customHeight="1" x14ac:dyDescent="0.3">
      <c r="A3" s="218"/>
      <c r="B3" s="218"/>
      <c r="C3" s="219"/>
      <c r="D3" s="215"/>
      <c r="E3" s="220"/>
      <c r="F3" s="71" t="s">
        <v>14</v>
      </c>
      <c r="G3" s="69" t="s">
        <v>15</v>
      </c>
      <c r="H3" s="71" t="s">
        <v>14</v>
      </c>
      <c r="I3" s="69" t="s">
        <v>15</v>
      </c>
      <c r="J3" s="71" t="s">
        <v>14</v>
      </c>
      <c r="K3" s="69" t="s">
        <v>15</v>
      </c>
    </row>
    <row r="4" spans="1:16" s="79" customFormat="1" ht="19.5" customHeight="1" x14ac:dyDescent="0.3">
      <c r="A4" s="214" t="s">
        <v>783</v>
      </c>
      <c r="B4" s="214"/>
      <c r="C4" s="89" t="s">
        <v>17</v>
      </c>
      <c r="D4" s="67" t="s">
        <v>76</v>
      </c>
      <c r="E4" s="88">
        <v>16.600000000000001</v>
      </c>
      <c r="F4" s="103"/>
      <c r="G4" s="92"/>
      <c r="H4" s="103"/>
      <c r="I4" s="92"/>
      <c r="J4" s="103"/>
      <c r="K4" s="92"/>
    </row>
    <row r="5" spans="1:16" s="79" customFormat="1" ht="19.5" customHeight="1" x14ac:dyDescent="0.3">
      <c r="A5" s="214" t="s">
        <v>18</v>
      </c>
      <c r="B5" s="214"/>
      <c r="C5" s="78"/>
      <c r="D5" s="90" t="s">
        <v>3</v>
      </c>
      <c r="E5" s="88">
        <f>(0.036*E4)*2</f>
        <v>1.1952</v>
      </c>
      <c r="F5" s="103"/>
      <c r="G5" s="92"/>
      <c r="H5" s="103">
        <f>'  2025 하반기'!C24</f>
        <v>255231</v>
      </c>
      <c r="I5" s="92">
        <f>E5*H5</f>
        <v>305052.09120000002</v>
      </c>
      <c r="J5" s="103"/>
      <c r="K5" s="92">
        <f>I5</f>
        <v>305052.09120000002</v>
      </c>
    </row>
    <row r="6" spans="1:16" s="79" customFormat="1" ht="19.5" customHeight="1" x14ac:dyDescent="0.3">
      <c r="A6" s="214" t="s">
        <v>4</v>
      </c>
      <c r="B6" s="214"/>
      <c r="C6" s="78"/>
      <c r="D6" s="90" t="s">
        <v>3</v>
      </c>
      <c r="E6" s="88">
        <f>(0.026*E4)*2</f>
        <v>0.86320000000000008</v>
      </c>
      <c r="F6" s="103"/>
      <c r="G6" s="92"/>
      <c r="H6" s="103">
        <f>'  2025 하반기'!C8</f>
        <v>171037</v>
      </c>
      <c r="I6" s="92">
        <f>E6*H6</f>
        <v>147639.13840000003</v>
      </c>
      <c r="J6" s="103"/>
      <c r="K6" s="92">
        <f>I6</f>
        <v>147639.13840000003</v>
      </c>
    </row>
    <row r="7" spans="1:16" s="79" customFormat="1" ht="19.5" customHeight="1" x14ac:dyDescent="0.3">
      <c r="A7" s="210" t="s">
        <v>6</v>
      </c>
      <c r="B7" s="210"/>
      <c r="C7" s="77"/>
      <c r="D7" s="84"/>
      <c r="E7" s="88"/>
      <c r="F7" s="76"/>
      <c r="G7" s="92"/>
      <c r="H7" s="76"/>
      <c r="I7" s="75">
        <f>INT(SUM(I5:I6))</f>
        <v>452691</v>
      </c>
      <c r="J7" s="76"/>
      <c r="K7" s="75">
        <f>SUM(K5:K6)</f>
        <v>452691.22960000008</v>
      </c>
    </row>
    <row r="8" spans="1:16" s="70" customFormat="1" ht="19.5" customHeight="1" x14ac:dyDescent="0.3">
      <c r="A8" s="211" t="s">
        <v>784</v>
      </c>
      <c r="B8" s="212"/>
      <c r="C8" s="66" t="s">
        <v>17</v>
      </c>
      <c r="D8" s="67" t="s">
        <v>76</v>
      </c>
      <c r="E8" s="93">
        <v>4.82</v>
      </c>
      <c r="F8" s="71"/>
      <c r="G8" s="69"/>
      <c r="H8" s="71"/>
      <c r="I8" s="69"/>
      <c r="J8" s="71"/>
      <c r="K8" s="92"/>
    </row>
    <row r="9" spans="1:16" s="79" customFormat="1" ht="19.5" customHeight="1" x14ac:dyDescent="0.3">
      <c r="A9" s="213" t="s">
        <v>550</v>
      </c>
      <c r="B9" s="214"/>
      <c r="C9" s="82" t="s">
        <v>710</v>
      </c>
      <c r="D9" s="67" t="s">
        <v>76</v>
      </c>
      <c r="E9" s="94">
        <f>E8*4</f>
        <v>19.28</v>
      </c>
      <c r="F9" s="155">
        <v>8300</v>
      </c>
      <c r="G9" s="75">
        <f>F9*E9</f>
        <v>160024</v>
      </c>
      <c r="H9" s="76" t="s">
        <v>17</v>
      </c>
      <c r="I9" s="77" t="s">
        <v>17</v>
      </c>
      <c r="J9" s="76"/>
      <c r="K9" s="92">
        <f>G9</f>
        <v>160024</v>
      </c>
    </row>
    <row r="10" spans="1:16" s="79" customFormat="1" ht="21" customHeight="1" x14ac:dyDescent="0.3">
      <c r="A10" s="211" t="s">
        <v>730</v>
      </c>
      <c r="B10" s="212"/>
      <c r="C10" s="66" t="s">
        <v>785</v>
      </c>
      <c r="D10" s="67" t="s">
        <v>76</v>
      </c>
      <c r="E10" s="94">
        <v>2.2000000000000002</v>
      </c>
      <c r="F10" s="154">
        <v>19000</v>
      </c>
      <c r="G10" s="69">
        <f>F10*E10</f>
        <v>41800</v>
      </c>
      <c r="H10" s="71"/>
      <c r="I10" s="69"/>
      <c r="J10" s="71"/>
      <c r="K10" s="77">
        <f t="shared" ref="K10:K11" si="0">G10</f>
        <v>41800</v>
      </c>
      <c r="P10" s="81"/>
    </row>
    <row r="11" spans="1:16" s="79" customFormat="1" ht="21" customHeight="1" x14ac:dyDescent="0.3">
      <c r="A11" s="211" t="s">
        <v>130</v>
      </c>
      <c r="B11" s="212"/>
      <c r="C11" s="66" t="s">
        <v>131</v>
      </c>
      <c r="D11" s="67" t="s">
        <v>76</v>
      </c>
      <c r="E11" s="93">
        <f>E8*2</f>
        <v>9.64</v>
      </c>
      <c r="F11" s="154">
        <v>6300</v>
      </c>
      <c r="G11" s="69">
        <f>F11*E11</f>
        <v>60732</v>
      </c>
      <c r="H11" s="71"/>
      <c r="I11" s="77" t="s">
        <v>17</v>
      </c>
      <c r="J11" s="71"/>
      <c r="K11" s="92">
        <f t="shared" si="0"/>
        <v>60732</v>
      </c>
      <c r="P11" s="81"/>
    </row>
    <row r="12" spans="1:16" s="79" customFormat="1" ht="19.5" customHeight="1" x14ac:dyDescent="0.3">
      <c r="A12" s="213" t="s">
        <v>548</v>
      </c>
      <c r="B12" s="214"/>
      <c r="C12" s="72" t="s">
        <v>17</v>
      </c>
      <c r="D12" s="82" t="s">
        <v>3</v>
      </c>
      <c r="E12" s="94">
        <v>6.6</v>
      </c>
      <c r="F12" s="74" t="s">
        <v>17</v>
      </c>
      <c r="G12" s="75"/>
      <c r="H12" s="76">
        <f>'  2025 하반기'!C24</f>
        <v>255231</v>
      </c>
      <c r="I12" s="77">
        <f t="shared" ref="I12:I13" si="1">H12*E12</f>
        <v>1684524.5999999999</v>
      </c>
      <c r="J12" s="76"/>
      <c r="K12" s="92">
        <f t="shared" ref="K12:K15" si="2">I12+G12</f>
        <v>1684524.5999999999</v>
      </c>
    </row>
    <row r="13" spans="1:16" s="70" customFormat="1" ht="19.5" customHeight="1" x14ac:dyDescent="0.3">
      <c r="A13" s="213" t="s">
        <v>549</v>
      </c>
      <c r="B13" s="214"/>
      <c r="C13" s="72" t="s">
        <v>17</v>
      </c>
      <c r="D13" s="82" t="s">
        <v>3</v>
      </c>
      <c r="E13" s="94">
        <v>4.3</v>
      </c>
      <c r="F13" s="74" t="s">
        <v>17</v>
      </c>
      <c r="G13" s="75"/>
      <c r="H13" s="76">
        <f>'  2025 하반기'!C8</f>
        <v>171037</v>
      </c>
      <c r="I13" s="77">
        <f t="shared" si="1"/>
        <v>735459.1</v>
      </c>
      <c r="J13" s="76"/>
      <c r="K13" s="92">
        <f t="shared" si="2"/>
        <v>735459.1</v>
      </c>
    </row>
    <row r="14" spans="1:16" s="79" customFormat="1" ht="19.5" customHeight="1" x14ac:dyDescent="0.3">
      <c r="A14" s="209" t="s">
        <v>49</v>
      </c>
      <c r="B14" s="209"/>
      <c r="C14" s="77"/>
      <c r="D14" s="84" t="s">
        <v>3</v>
      </c>
      <c r="E14" s="95">
        <v>5.3</v>
      </c>
      <c r="F14" s="76"/>
      <c r="G14" s="75"/>
      <c r="H14" s="76">
        <f>'  2025 하반기'!C23</f>
        <v>258362</v>
      </c>
      <c r="I14" s="77">
        <f>H14*E14</f>
        <v>1369318.5999999999</v>
      </c>
      <c r="J14" s="76"/>
      <c r="K14" s="92">
        <f t="shared" si="2"/>
        <v>1369318.5999999999</v>
      </c>
    </row>
    <row r="15" spans="1:16" s="79" customFormat="1" ht="19.5" customHeight="1" x14ac:dyDescent="0.3">
      <c r="A15" s="210" t="s">
        <v>733</v>
      </c>
      <c r="B15" s="210"/>
      <c r="C15" s="77"/>
      <c r="D15" s="84"/>
      <c r="E15" s="95"/>
      <c r="F15" s="76"/>
      <c r="G15" s="75">
        <f>SUM(G9:G14)</f>
        <v>262556</v>
      </c>
      <c r="H15" s="75" t="s">
        <v>17</v>
      </c>
      <c r="I15" s="75">
        <f t="shared" ref="I15" si="3">SUM(I9:I14)</f>
        <v>3789302.3</v>
      </c>
      <c r="J15" s="75"/>
      <c r="K15" s="92">
        <f t="shared" si="2"/>
        <v>4051858.3</v>
      </c>
    </row>
    <row r="16" spans="1:16" s="70" customFormat="1" ht="19.5" customHeight="1" x14ac:dyDescent="0.3">
      <c r="A16" s="211" t="s">
        <v>792</v>
      </c>
      <c r="B16" s="212"/>
      <c r="C16" s="66" t="s">
        <v>17</v>
      </c>
      <c r="D16" s="67" t="s">
        <v>76</v>
      </c>
      <c r="E16" s="93">
        <v>1.2</v>
      </c>
      <c r="F16" s="71"/>
      <c r="G16" s="69"/>
      <c r="H16" s="71"/>
      <c r="I16" s="69"/>
      <c r="J16" s="71"/>
      <c r="K16" s="92"/>
    </row>
    <row r="17" spans="1:16" s="79" customFormat="1" ht="19.5" customHeight="1" x14ac:dyDescent="0.3">
      <c r="A17" s="213" t="s">
        <v>550</v>
      </c>
      <c r="B17" s="214"/>
      <c r="C17" s="82" t="s">
        <v>710</v>
      </c>
      <c r="D17" s="67" t="s">
        <v>76</v>
      </c>
      <c r="E17" s="94">
        <f>E16*4</f>
        <v>4.8</v>
      </c>
      <c r="F17" s="155">
        <v>8300</v>
      </c>
      <c r="G17" s="75">
        <f>F17*E17</f>
        <v>39840</v>
      </c>
      <c r="H17" s="76" t="s">
        <v>17</v>
      </c>
      <c r="I17" s="77" t="s">
        <v>17</v>
      </c>
      <c r="J17" s="76"/>
      <c r="K17" s="92">
        <f>G17</f>
        <v>39840</v>
      </c>
    </row>
    <row r="18" spans="1:16" s="79" customFormat="1" ht="21" customHeight="1" x14ac:dyDescent="0.3">
      <c r="A18" s="211" t="s">
        <v>730</v>
      </c>
      <c r="B18" s="212"/>
      <c r="C18" s="66" t="s">
        <v>785</v>
      </c>
      <c r="D18" s="67" t="s">
        <v>76</v>
      </c>
      <c r="E18" s="94">
        <v>0.82</v>
      </c>
      <c r="F18" s="154">
        <v>19000</v>
      </c>
      <c r="G18" s="69">
        <f>F18*E18</f>
        <v>15579.999999999998</v>
      </c>
      <c r="H18" s="71"/>
      <c r="I18" s="69"/>
      <c r="J18" s="71"/>
      <c r="K18" s="77">
        <f t="shared" ref="K18:K20" si="4">G18</f>
        <v>15579.999999999998</v>
      </c>
      <c r="P18" s="81"/>
    </row>
    <row r="19" spans="1:16" s="79" customFormat="1" ht="21" customHeight="1" x14ac:dyDescent="0.3">
      <c r="A19" s="211" t="s">
        <v>793</v>
      </c>
      <c r="B19" s="212"/>
      <c r="C19" s="66" t="s">
        <v>17</v>
      </c>
      <c r="D19" s="67" t="s">
        <v>77</v>
      </c>
      <c r="E19" s="94">
        <v>1</v>
      </c>
      <c r="F19" s="154">
        <v>65000</v>
      </c>
      <c r="G19" s="69">
        <f>F19*E19</f>
        <v>65000</v>
      </c>
      <c r="H19" s="71"/>
      <c r="I19" s="69"/>
      <c r="J19" s="71"/>
      <c r="K19" s="77"/>
      <c r="P19" s="81"/>
    </row>
    <row r="20" spans="1:16" s="79" customFormat="1" ht="21" customHeight="1" x14ac:dyDescent="0.3">
      <c r="A20" s="211" t="s">
        <v>130</v>
      </c>
      <c r="B20" s="212"/>
      <c r="C20" s="66" t="s">
        <v>131</v>
      </c>
      <c r="D20" s="67" t="s">
        <v>76</v>
      </c>
      <c r="E20" s="93">
        <f>E16*2</f>
        <v>2.4</v>
      </c>
      <c r="F20" s="154">
        <v>6300</v>
      </c>
      <c r="G20" s="69">
        <f>F20*E20</f>
        <v>15120</v>
      </c>
      <c r="H20" s="71"/>
      <c r="I20" s="77" t="s">
        <v>17</v>
      </c>
      <c r="J20" s="71"/>
      <c r="K20" s="92">
        <f t="shared" si="4"/>
        <v>15120</v>
      </c>
      <c r="P20" s="81"/>
    </row>
    <row r="21" spans="1:16" s="79" customFormat="1" ht="19.5" customHeight="1" x14ac:dyDescent="0.3">
      <c r="A21" s="213" t="s">
        <v>548</v>
      </c>
      <c r="B21" s="214"/>
      <c r="C21" s="72" t="s">
        <v>17</v>
      </c>
      <c r="D21" s="82" t="s">
        <v>3</v>
      </c>
      <c r="E21" s="94">
        <v>2.2999999999999998</v>
      </c>
      <c r="F21" s="74" t="s">
        <v>17</v>
      </c>
      <c r="G21" s="75"/>
      <c r="H21" s="76">
        <f>'  2025 하반기'!C24</f>
        <v>255231</v>
      </c>
      <c r="I21" s="77">
        <f t="shared" ref="I21:I22" si="5">H21*E21</f>
        <v>587031.29999999993</v>
      </c>
      <c r="J21" s="76"/>
      <c r="K21" s="92">
        <f t="shared" ref="K21:K24" si="6">I21+G21</f>
        <v>587031.29999999993</v>
      </c>
    </row>
    <row r="22" spans="1:16" s="70" customFormat="1" ht="19.5" customHeight="1" x14ac:dyDescent="0.3">
      <c r="A22" s="213" t="s">
        <v>549</v>
      </c>
      <c r="B22" s="214"/>
      <c r="C22" s="72" t="s">
        <v>17</v>
      </c>
      <c r="D22" s="82" t="s">
        <v>3</v>
      </c>
      <c r="E22" s="94">
        <v>1.2</v>
      </c>
      <c r="F22" s="74" t="s">
        <v>17</v>
      </c>
      <c r="G22" s="75"/>
      <c r="H22" s="76">
        <f>'  2025 하반기'!C8</f>
        <v>171037</v>
      </c>
      <c r="I22" s="77">
        <f t="shared" si="5"/>
        <v>205244.4</v>
      </c>
      <c r="J22" s="76"/>
      <c r="K22" s="92">
        <f t="shared" si="6"/>
        <v>205244.4</v>
      </c>
    </row>
    <row r="23" spans="1:16" s="79" customFormat="1" ht="19.5" customHeight="1" x14ac:dyDescent="0.3">
      <c r="A23" s="209" t="s">
        <v>49</v>
      </c>
      <c r="B23" s="209"/>
      <c r="C23" s="77"/>
      <c r="D23" s="84" t="s">
        <v>3</v>
      </c>
      <c r="E23" s="95">
        <v>2</v>
      </c>
      <c r="F23" s="76"/>
      <c r="G23" s="75"/>
      <c r="H23" s="76">
        <f>'  2025 하반기'!C23</f>
        <v>258362</v>
      </c>
      <c r="I23" s="77">
        <f>H23*E23</f>
        <v>516724</v>
      </c>
      <c r="J23" s="76"/>
      <c r="K23" s="92">
        <f t="shared" si="6"/>
        <v>516724</v>
      </c>
    </row>
    <row r="24" spans="1:16" s="79" customFormat="1" ht="19.5" customHeight="1" x14ac:dyDescent="0.3">
      <c r="A24" s="210" t="s">
        <v>733</v>
      </c>
      <c r="B24" s="210"/>
      <c r="C24" s="77"/>
      <c r="D24" s="84"/>
      <c r="E24" s="95"/>
      <c r="F24" s="76"/>
      <c r="G24" s="75">
        <f>SUM(G17:G23)</f>
        <v>135540</v>
      </c>
      <c r="H24" s="75" t="s">
        <v>17</v>
      </c>
      <c r="I24" s="75">
        <f t="shared" ref="I24" si="7">SUM(I17:I23)</f>
        <v>1308999.7</v>
      </c>
      <c r="J24" s="75"/>
      <c r="K24" s="92">
        <f t="shared" si="6"/>
        <v>1444539.7</v>
      </c>
    </row>
    <row r="25" spans="1:16" x14ac:dyDescent="0.3">
      <c r="A25" s="209"/>
      <c r="B25" s="209"/>
      <c r="C25" s="77"/>
      <c r="D25" s="84"/>
      <c r="E25" s="95"/>
      <c r="F25" s="76"/>
      <c r="G25" s="75"/>
      <c r="H25" s="75"/>
      <c r="I25" s="75"/>
      <c r="J25" s="75"/>
      <c r="K25" s="92"/>
    </row>
    <row r="26" spans="1:16" x14ac:dyDescent="0.3">
      <c r="A26" s="210" t="s">
        <v>12</v>
      </c>
      <c r="B26" s="210"/>
      <c r="C26" s="77"/>
      <c r="D26" s="84"/>
      <c r="E26" s="95"/>
      <c r="F26" s="76"/>
      <c r="G26" s="75">
        <f>G15+G7+G24</f>
        <v>398096</v>
      </c>
      <c r="H26" s="75"/>
      <c r="I26" s="75">
        <f>I15+I7+I24</f>
        <v>5550993</v>
      </c>
      <c r="J26" s="75"/>
      <c r="K26" s="75">
        <f>K15+K7+K24</f>
        <v>5949089.2296000002</v>
      </c>
    </row>
  </sheetData>
  <mergeCells count="31">
    <mergeCell ref="F1:I1"/>
    <mergeCell ref="A2:B3"/>
    <mergeCell ref="C2:C3"/>
    <mergeCell ref="D2:D3"/>
    <mergeCell ref="E2:E3"/>
    <mergeCell ref="F2:G2"/>
    <mergeCell ref="H2:I2"/>
    <mergeCell ref="A18:B18"/>
    <mergeCell ref="J2:K2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13:B13"/>
    <mergeCell ref="A14:B14"/>
    <mergeCell ref="A15:B15"/>
    <mergeCell ref="A16:B16"/>
    <mergeCell ref="A17:B17"/>
    <mergeCell ref="A19:B19"/>
    <mergeCell ref="A25:B25"/>
    <mergeCell ref="A26:B26"/>
    <mergeCell ref="A20:B20"/>
    <mergeCell ref="A21:B21"/>
    <mergeCell ref="A22:B22"/>
    <mergeCell ref="A23:B23"/>
    <mergeCell ref="A24:B24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0215-2BF6-4D17-9514-D844F190BFD5}">
  <dimension ref="A1:P26"/>
  <sheetViews>
    <sheetView view="pageBreakPreview" topLeftCell="A11" zoomScale="120" zoomScaleNormal="100" zoomScaleSheetLayoutView="120" workbookViewId="0">
      <selection activeCell="B1" sqref="B1"/>
    </sheetView>
  </sheetViews>
  <sheetFormatPr defaultColWidth="8.75" defaultRowHeight="16.5" x14ac:dyDescent="0.3"/>
  <cols>
    <col min="1" max="2" width="8.75" style="105"/>
    <col min="3" max="3" width="12.625" style="105" customWidth="1"/>
    <col min="4" max="4" width="5.25" style="105" customWidth="1"/>
    <col min="5" max="5" width="6.875" style="105" customWidth="1"/>
    <col min="6" max="6" width="10.75" style="105" customWidth="1"/>
    <col min="7" max="7" width="12" style="105" customWidth="1"/>
    <col min="8" max="8" width="10.375" style="105" customWidth="1"/>
    <col min="9" max="9" width="14.875" style="105" customWidth="1"/>
    <col min="10" max="10" width="13.375" style="105" customWidth="1"/>
    <col min="11" max="11" width="18.125" style="105" customWidth="1"/>
    <col min="12" max="16384" width="8.75" style="105"/>
  </cols>
  <sheetData>
    <row r="1" spans="1:16" s="65" customFormat="1" ht="19.5" customHeight="1" x14ac:dyDescent="0.3">
      <c r="A1" s="96" t="s">
        <v>0</v>
      </c>
      <c r="B1" s="97" t="s">
        <v>810</v>
      </c>
      <c r="C1" s="98"/>
      <c r="D1" s="99"/>
      <c r="E1" s="100" t="s">
        <v>17</v>
      </c>
      <c r="F1" s="216" t="s">
        <v>17</v>
      </c>
      <c r="G1" s="217"/>
      <c r="H1" s="217"/>
      <c r="I1" s="217"/>
      <c r="J1" s="101" t="s">
        <v>17</v>
      </c>
      <c r="K1" s="102" t="s">
        <v>17</v>
      </c>
    </row>
    <row r="2" spans="1:16" s="70" customFormat="1" ht="19.5" customHeight="1" x14ac:dyDescent="0.3">
      <c r="A2" s="218" t="s">
        <v>7</v>
      </c>
      <c r="B2" s="218"/>
      <c r="C2" s="219" t="s">
        <v>8</v>
      </c>
      <c r="D2" s="215" t="s">
        <v>9</v>
      </c>
      <c r="E2" s="220" t="s">
        <v>1</v>
      </c>
      <c r="F2" s="215" t="s">
        <v>10</v>
      </c>
      <c r="G2" s="215"/>
      <c r="H2" s="215" t="s">
        <v>11</v>
      </c>
      <c r="I2" s="215"/>
      <c r="J2" s="215" t="s">
        <v>12</v>
      </c>
      <c r="K2" s="215"/>
    </row>
    <row r="3" spans="1:16" s="70" customFormat="1" ht="19.5" customHeight="1" x14ac:dyDescent="0.3">
      <c r="A3" s="218"/>
      <c r="B3" s="218"/>
      <c r="C3" s="219"/>
      <c r="D3" s="215"/>
      <c r="E3" s="220"/>
      <c r="F3" s="71" t="s">
        <v>14</v>
      </c>
      <c r="G3" s="69" t="s">
        <v>15</v>
      </c>
      <c r="H3" s="71" t="s">
        <v>14</v>
      </c>
      <c r="I3" s="69" t="s">
        <v>15</v>
      </c>
      <c r="J3" s="71" t="s">
        <v>14</v>
      </c>
      <c r="K3" s="69" t="s">
        <v>15</v>
      </c>
    </row>
    <row r="4" spans="1:16" s="79" customFormat="1" ht="19.5" customHeight="1" x14ac:dyDescent="0.3">
      <c r="A4" s="214" t="s">
        <v>786</v>
      </c>
      <c r="B4" s="214"/>
      <c r="C4" s="89" t="s">
        <v>17</v>
      </c>
      <c r="D4" s="67" t="s">
        <v>76</v>
      </c>
      <c r="E4" s="88">
        <v>6.6</v>
      </c>
      <c r="F4" s="103"/>
      <c r="G4" s="92"/>
      <c r="H4" s="103"/>
      <c r="I4" s="92"/>
      <c r="J4" s="103"/>
      <c r="K4" s="92"/>
    </row>
    <row r="5" spans="1:16" s="79" customFormat="1" ht="19.5" customHeight="1" x14ac:dyDescent="0.3">
      <c r="A5" s="214" t="s">
        <v>18</v>
      </c>
      <c r="B5" s="214"/>
      <c r="C5" s="78"/>
      <c r="D5" s="90" t="s">
        <v>3</v>
      </c>
      <c r="E5" s="88">
        <f>(0.036*E4)*2</f>
        <v>0.47519999999999996</v>
      </c>
      <c r="F5" s="103"/>
      <c r="G5" s="92"/>
      <c r="H5" s="103">
        <f>'  2025 하반기'!C24</f>
        <v>255231</v>
      </c>
      <c r="I5" s="92">
        <f>E5*H5</f>
        <v>121285.77119999999</v>
      </c>
      <c r="J5" s="103"/>
      <c r="K5" s="92">
        <f>I5</f>
        <v>121285.77119999999</v>
      </c>
    </row>
    <row r="6" spans="1:16" s="79" customFormat="1" ht="19.5" customHeight="1" x14ac:dyDescent="0.3">
      <c r="A6" s="214" t="s">
        <v>4</v>
      </c>
      <c r="B6" s="214"/>
      <c r="C6" s="78"/>
      <c r="D6" s="90" t="s">
        <v>3</v>
      </c>
      <c r="E6" s="88">
        <f>(0.026*E4)*2</f>
        <v>0.34319999999999995</v>
      </c>
      <c r="F6" s="103"/>
      <c r="G6" s="92"/>
      <c r="H6" s="103">
        <f>'  2025 하반기'!C8</f>
        <v>171037</v>
      </c>
      <c r="I6" s="92">
        <f>E6*H6</f>
        <v>58699.898399999991</v>
      </c>
      <c r="J6" s="103"/>
      <c r="K6" s="92">
        <f>I6</f>
        <v>58699.898399999991</v>
      </c>
    </row>
    <row r="7" spans="1:16" s="79" customFormat="1" ht="19.5" customHeight="1" x14ac:dyDescent="0.3">
      <c r="A7" s="210" t="s">
        <v>6</v>
      </c>
      <c r="B7" s="210"/>
      <c r="C7" s="77"/>
      <c r="D7" s="84"/>
      <c r="E7" s="88"/>
      <c r="F7" s="76"/>
      <c r="G7" s="92"/>
      <c r="H7" s="76"/>
      <c r="I7" s="75">
        <f>INT(SUM(I5:I6))</f>
        <v>179985</v>
      </c>
      <c r="J7" s="76"/>
      <c r="K7" s="75">
        <f>SUM(K5:K6)</f>
        <v>179985.66959999996</v>
      </c>
    </row>
    <row r="8" spans="1:16" s="70" customFormat="1" ht="19.5" customHeight="1" x14ac:dyDescent="0.3">
      <c r="A8" s="211" t="s">
        <v>787</v>
      </c>
      <c r="B8" s="212"/>
      <c r="C8" s="66" t="s">
        <v>17</v>
      </c>
      <c r="D8" s="67" t="s">
        <v>76</v>
      </c>
      <c r="E8" s="93">
        <v>6.6</v>
      </c>
      <c r="F8" s="71"/>
      <c r="G8" s="69"/>
      <c r="H8" s="71"/>
      <c r="I8" s="69"/>
      <c r="J8" s="71"/>
      <c r="K8" s="92"/>
    </row>
    <row r="9" spans="1:16" s="79" customFormat="1" ht="19.5" customHeight="1" x14ac:dyDescent="0.3">
      <c r="A9" s="213" t="s">
        <v>550</v>
      </c>
      <c r="B9" s="214"/>
      <c r="C9" s="82" t="s">
        <v>710</v>
      </c>
      <c r="D9" s="67" t="s">
        <v>76</v>
      </c>
      <c r="E9" s="94">
        <f>E8*0.5</f>
        <v>3.3</v>
      </c>
      <c r="F9" s="155">
        <v>8300</v>
      </c>
      <c r="G9" s="75">
        <f>F9*E9</f>
        <v>27390</v>
      </c>
      <c r="H9" s="76" t="s">
        <v>17</v>
      </c>
      <c r="I9" s="77" t="s">
        <v>17</v>
      </c>
      <c r="J9" s="76"/>
      <c r="K9" s="92">
        <f>G9</f>
        <v>27390</v>
      </c>
    </row>
    <row r="10" spans="1:16" s="79" customFormat="1" ht="21" customHeight="1" x14ac:dyDescent="0.3">
      <c r="A10" s="211" t="s">
        <v>788</v>
      </c>
      <c r="B10" s="212"/>
      <c r="C10" s="66" t="s">
        <v>789</v>
      </c>
      <c r="D10" s="67" t="s">
        <v>790</v>
      </c>
      <c r="E10" s="94">
        <v>1</v>
      </c>
      <c r="F10" s="154">
        <v>280000</v>
      </c>
      <c r="G10" s="69">
        <f>F10*E10</f>
        <v>280000</v>
      </c>
      <c r="H10" s="71"/>
      <c r="I10" s="69"/>
      <c r="J10" s="71"/>
      <c r="K10" s="77">
        <f t="shared" ref="K10:K11" si="0">G10</f>
        <v>280000</v>
      </c>
      <c r="P10" s="81"/>
    </row>
    <row r="11" spans="1:16" s="79" customFormat="1" ht="21" customHeight="1" x14ac:dyDescent="0.3">
      <c r="A11" s="211" t="s">
        <v>130</v>
      </c>
      <c r="B11" s="212"/>
      <c r="C11" s="66" t="s">
        <v>131</v>
      </c>
      <c r="D11" s="67" t="s">
        <v>76</v>
      </c>
      <c r="E11" s="93">
        <f>E8</f>
        <v>6.6</v>
      </c>
      <c r="F11" s="154">
        <v>6300</v>
      </c>
      <c r="G11" s="69">
        <f>F11*E11</f>
        <v>41580</v>
      </c>
      <c r="H11" s="71"/>
      <c r="I11" s="77" t="s">
        <v>17</v>
      </c>
      <c r="J11" s="71"/>
      <c r="K11" s="92">
        <f t="shared" si="0"/>
        <v>41580</v>
      </c>
      <c r="P11" s="81"/>
    </row>
    <row r="12" spans="1:16" s="79" customFormat="1" ht="19.5" customHeight="1" x14ac:dyDescent="0.3">
      <c r="A12" s="213" t="s">
        <v>548</v>
      </c>
      <c r="B12" s="214"/>
      <c r="C12" s="72" t="s">
        <v>17</v>
      </c>
      <c r="D12" s="82" t="s">
        <v>3</v>
      </c>
      <c r="E12" s="94">
        <f>0.34*E8*2</f>
        <v>4.4880000000000004</v>
      </c>
      <c r="F12" s="74" t="s">
        <v>17</v>
      </c>
      <c r="G12" s="75"/>
      <c r="H12" s="76">
        <f>'  2025 하반기'!C24</f>
        <v>255231</v>
      </c>
      <c r="I12" s="77">
        <f t="shared" ref="I12:I13" si="1">H12*E12</f>
        <v>1145476.7280000001</v>
      </c>
      <c r="J12" s="76"/>
      <c r="K12" s="92">
        <f t="shared" ref="K12:K15" si="2">I12+G12</f>
        <v>1145476.7280000001</v>
      </c>
    </row>
    <row r="13" spans="1:16" s="70" customFormat="1" ht="19.5" customHeight="1" x14ac:dyDescent="0.3">
      <c r="A13" s="213" t="s">
        <v>549</v>
      </c>
      <c r="B13" s="214"/>
      <c r="C13" s="72" t="s">
        <v>17</v>
      </c>
      <c r="D13" s="82" t="s">
        <v>3</v>
      </c>
      <c r="E13" s="94">
        <f>0.21*E8*2</f>
        <v>2.7719999999999998</v>
      </c>
      <c r="F13" s="74" t="s">
        <v>17</v>
      </c>
      <c r="G13" s="75"/>
      <c r="H13" s="76">
        <f>'  2025 하반기'!C8</f>
        <v>171037</v>
      </c>
      <c r="I13" s="77">
        <f t="shared" si="1"/>
        <v>474114.56399999995</v>
      </c>
      <c r="J13" s="76"/>
      <c r="K13" s="92">
        <f t="shared" si="2"/>
        <v>474114.56399999995</v>
      </c>
    </row>
    <row r="14" spans="1:16" s="79" customFormat="1" ht="19.5" customHeight="1" x14ac:dyDescent="0.3">
      <c r="A14" s="209" t="s">
        <v>49</v>
      </c>
      <c r="B14" s="209"/>
      <c r="C14" s="77"/>
      <c r="D14" s="84" t="s">
        <v>3</v>
      </c>
      <c r="E14" s="95">
        <f>0.34*E8*2</f>
        <v>4.4880000000000004</v>
      </c>
      <c r="F14" s="76"/>
      <c r="G14" s="75"/>
      <c r="H14" s="76">
        <f>'  2025 하반기'!C23</f>
        <v>258362</v>
      </c>
      <c r="I14" s="77">
        <f>H14*E14</f>
        <v>1159528.6560000002</v>
      </c>
      <c r="J14" s="76"/>
      <c r="K14" s="92">
        <f t="shared" si="2"/>
        <v>1159528.6560000002</v>
      </c>
    </row>
    <row r="15" spans="1:16" s="79" customFormat="1" ht="19.5" customHeight="1" x14ac:dyDescent="0.3">
      <c r="A15" s="210" t="s">
        <v>733</v>
      </c>
      <c r="B15" s="210"/>
      <c r="C15" s="77"/>
      <c r="D15" s="84"/>
      <c r="E15" s="95"/>
      <c r="F15" s="76"/>
      <c r="G15" s="75">
        <f>SUM(G9:G14)</f>
        <v>348970</v>
      </c>
      <c r="H15" s="75" t="s">
        <v>17</v>
      </c>
      <c r="I15" s="75">
        <f t="shared" ref="I15" si="3">SUM(I9:I14)</f>
        <v>2779119.9480000003</v>
      </c>
      <c r="J15" s="75"/>
      <c r="K15" s="92">
        <f t="shared" si="2"/>
        <v>3128089.9480000003</v>
      </c>
    </row>
    <row r="16" spans="1:16" s="70" customFormat="1" ht="19.5" customHeight="1" x14ac:dyDescent="0.3">
      <c r="A16" s="211"/>
      <c r="B16" s="212"/>
      <c r="C16" s="66"/>
      <c r="D16" s="67"/>
      <c r="E16" s="93"/>
      <c r="F16" s="71"/>
      <c r="G16" s="69"/>
      <c r="H16" s="71"/>
      <c r="I16" s="69"/>
      <c r="J16" s="71"/>
      <c r="K16" s="92"/>
    </row>
    <row r="17" spans="1:16" s="79" customFormat="1" ht="19.5" customHeight="1" x14ac:dyDescent="0.3">
      <c r="A17" s="213"/>
      <c r="B17" s="214"/>
      <c r="C17" s="72"/>
      <c r="D17" s="82"/>
      <c r="E17" s="94"/>
      <c r="F17" s="74"/>
      <c r="G17" s="75"/>
      <c r="H17" s="76"/>
      <c r="I17" s="77"/>
      <c r="J17" s="76"/>
      <c r="K17" s="92"/>
    </row>
    <row r="18" spans="1:16" s="70" customFormat="1" ht="19.5" customHeight="1" x14ac:dyDescent="0.3">
      <c r="A18" s="213"/>
      <c r="B18" s="214"/>
      <c r="C18" s="72"/>
      <c r="D18" s="82"/>
      <c r="E18" s="94"/>
      <c r="F18" s="74"/>
      <c r="G18" s="75"/>
      <c r="H18" s="76"/>
      <c r="I18" s="77"/>
      <c r="J18" s="76"/>
      <c r="K18" s="92"/>
    </row>
    <row r="19" spans="1:16" s="79" customFormat="1" ht="19.5" customHeight="1" x14ac:dyDescent="0.3">
      <c r="A19" s="209"/>
      <c r="B19" s="209"/>
      <c r="C19" s="77"/>
      <c r="D19" s="84"/>
      <c r="E19" s="95"/>
      <c r="F19" s="76"/>
      <c r="G19" s="75"/>
      <c r="H19" s="76"/>
      <c r="I19" s="77"/>
      <c r="J19" s="76"/>
      <c r="K19" s="92"/>
    </row>
    <row r="20" spans="1:16" s="79" customFormat="1" ht="19.5" customHeight="1" x14ac:dyDescent="0.3">
      <c r="A20" s="210"/>
      <c r="B20" s="210"/>
      <c r="C20" s="77"/>
      <c r="D20" s="84"/>
      <c r="E20" s="95"/>
      <c r="F20" s="76"/>
      <c r="G20" s="75"/>
      <c r="H20" s="75"/>
      <c r="I20" s="75"/>
      <c r="J20" s="75"/>
      <c r="K20" s="92"/>
    </row>
    <row r="21" spans="1:16" s="79" customFormat="1" ht="19.5" customHeight="1" x14ac:dyDescent="0.3">
      <c r="A21" s="213"/>
      <c r="B21" s="214"/>
      <c r="C21" s="72"/>
      <c r="D21" s="67"/>
      <c r="E21" s="94"/>
      <c r="F21" s="74"/>
      <c r="G21" s="75"/>
      <c r="H21" s="76"/>
      <c r="I21" s="77"/>
      <c r="J21" s="76"/>
      <c r="K21" s="92"/>
    </row>
    <row r="22" spans="1:16" s="79" customFormat="1" ht="21" customHeight="1" x14ac:dyDescent="0.3">
      <c r="A22" s="211"/>
      <c r="B22" s="212"/>
      <c r="C22" s="66"/>
      <c r="D22" s="67"/>
      <c r="E22" s="94"/>
      <c r="F22" s="80"/>
      <c r="G22" s="69"/>
      <c r="H22" s="71"/>
      <c r="I22" s="69"/>
      <c r="J22" s="71"/>
      <c r="K22" s="77"/>
      <c r="P22" s="81"/>
    </row>
    <row r="23" spans="1:16" s="79" customFormat="1" ht="21" customHeight="1" x14ac:dyDescent="0.3">
      <c r="A23" s="211"/>
      <c r="B23" s="212"/>
      <c r="C23" s="66"/>
      <c r="D23" s="67"/>
      <c r="E23" s="93"/>
      <c r="F23" s="80"/>
      <c r="G23" s="69"/>
      <c r="H23" s="71"/>
      <c r="I23" s="77"/>
      <c r="J23" s="71"/>
      <c r="K23" s="92"/>
      <c r="P23" s="81"/>
    </row>
    <row r="24" spans="1:16" x14ac:dyDescent="0.3">
      <c r="A24" s="209"/>
      <c r="B24" s="209"/>
      <c r="C24" s="77"/>
      <c r="D24" s="84"/>
      <c r="E24" s="95"/>
      <c r="F24" s="76"/>
      <c r="G24" s="75"/>
      <c r="H24" s="75"/>
      <c r="I24" s="75"/>
      <c r="J24" s="75"/>
      <c r="K24" s="92"/>
    </row>
    <row r="25" spans="1:16" x14ac:dyDescent="0.3">
      <c r="A25" s="209"/>
      <c r="B25" s="209"/>
      <c r="C25" s="77"/>
      <c r="D25" s="84"/>
      <c r="E25" s="95"/>
      <c r="F25" s="76"/>
      <c r="G25" s="75"/>
      <c r="H25" s="75"/>
      <c r="I25" s="75"/>
      <c r="J25" s="75"/>
      <c r="K25" s="92"/>
    </row>
    <row r="26" spans="1:16" x14ac:dyDescent="0.3">
      <c r="A26" s="210" t="s">
        <v>12</v>
      </c>
      <c r="B26" s="210"/>
      <c r="C26" s="77"/>
      <c r="D26" s="84"/>
      <c r="E26" s="95"/>
      <c r="F26" s="76"/>
      <c r="G26" s="75">
        <f>G15+G7</f>
        <v>348970</v>
      </c>
      <c r="H26" s="75"/>
      <c r="I26" s="75">
        <f t="shared" ref="I26:K26" si="4">I15+I7</f>
        <v>2959104.9480000003</v>
      </c>
      <c r="J26" s="75"/>
      <c r="K26" s="75">
        <f t="shared" si="4"/>
        <v>3308075.6176000005</v>
      </c>
    </row>
  </sheetData>
  <mergeCells count="31">
    <mergeCell ref="F1:I1"/>
    <mergeCell ref="A2:B3"/>
    <mergeCell ref="C2:C3"/>
    <mergeCell ref="D2:D3"/>
    <mergeCell ref="E2:E3"/>
    <mergeCell ref="F2:G2"/>
    <mergeCell ref="H2:I2"/>
    <mergeCell ref="A14:B14"/>
    <mergeCell ref="J2:K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4654-A488-47D3-A0B1-777C8CA29B32}">
  <dimension ref="A1:P27"/>
  <sheetViews>
    <sheetView view="pageBreakPreview" topLeftCell="A11" zoomScale="120" zoomScaleNormal="100" zoomScaleSheetLayoutView="120" workbookViewId="0">
      <selection activeCell="G7" sqref="G7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716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3" customFormat="1" ht="19.5" customHeight="1" x14ac:dyDescent="0.3">
      <c r="A4" s="235" t="s">
        <v>780</v>
      </c>
      <c r="B4" s="235"/>
      <c r="C4" s="117" t="s">
        <v>17</v>
      </c>
      <c r="D4" s="118" t="s">
        <v>76</v>
      </c>
      <c r="E4" s="119">
        <v>5.3</v>
      </c>
      <c r="F4" s="120"/>
      <c r="G4" s="121"/>
      <c r="H4" s="120"/>
      <c r="I4" s="121"/>
      <c r="J4" s="120"/>
      <c r="K4" s="121"/>
    </row>
    <row r="5" spans="1:16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v>3</v>
      </c>
      <c r="F5" s="120"/>
      <c r="G5" s="121"/>
      <c r="H5" s="120">
        <f>'  2025 하반기'!C24</f>
        <v>255231</v>
      </c>
      <c r="I5" s="121">
        <f>E5*H5</f>
        <v>765693</v>
      </c>
      <c r="J5" s="120"/>
      <c r="K5" s="121">
        <f>I5</f>
        <v>765693</v>
      </c>
    </row>
    <row r="6" spans="1:16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0.27559999999999996</v>
      </c>
      <c r="F6" s="120"/>
      <c r="G6" s="121"/>
      <c r="H6" s="120">
        <f>'  2025 하반기'!C8</f>
        <v>171037</v>
      </c>
      <c r="I6" s="121">
        <f>E6*H6</f>
        <v>47137.797199999994</v>
      </c>
      <c r="J6" s="120"/>
      <c r="K6" s="121">
        <f>I6</f>
        <v>47137.797199999994</v>
      </c>
    </row>
    <row r="7" spans="1:16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812830</v>
      </c>
      <c r="J7" s="127"/>
      <c r="K7" s="128">
        <f>SUM(K5:K6)</f>
        <v>812830.79720000003</v>
      </c>
    </row>
    <row r="8" spans="1:16" s="114" customFormat="1" ht="19.5" customHeight="1" x14ac:dyDescent="0.3">
      <c r="A8" s="232" t="s">
        <v>791</v>
      </c>
      <c r="B8" s="233"/>
      <c r="C8" s="132" t="s">
        <v>17</v>
      </c>
      <c r="D8" s="118" t="s">
        <v>76</v>
      </c>
      <c r="E8" s="141">
        <v>2.77</v>
      </c>
      <c r="F8" s="115"/>
      <c r="G8" s="116"/>
      <c r="H8" s="115"/>
      <c r="I8" s="116"/>
      <c r="J8" s="115"/>
      <c r="K8" s="116"/>
    </row>
    <row r="9" spans="1:16" s="13" customFormat="1" ht="19.5" customHeight="1" x14ac:dyDescent="0.3">
      <c r="A9" s="236" t="s">
        <v>794</v>
      </c>
      <c r="B9" s="236"/>
      <c r="C9" s="125" t="s">
        <v>800</v>
      </c>
      <c r="D9" s="118" t="s">
        <v>76</v>
      </c>
      <c r="E9" s="141">
        <v>2.77</v>
      </c>
      <c r="F9" s="127">
        <v>135000</v>
      </c>
      <c r="G9" s="128">
        <f>F9*E9</f>
        <v>373950</v>
      </c>
      <c r="H9" s="127">
        <v>2250000</v>
      </c>
      <c r="I9" s="125">
        <f>H9*E9</f>
        <v>6232500</v>
      </c>
      <c r="J9" s="127"/>
      <c r="K9" s="121">
        <f>I9+G9</f>
        <v>6606450</v>
      </c>
    </row>
    <row r="10" spans="1:16" s="13" customFormat="1" ht="19.5" customHeight="1" x14ac:dyDescent="0.3">
      <c r="A10" s="234" t="s">
        <v>795</v>
      </c>
      <c r="B10" s="235"/>
      <c r="C10" s="17" t="s">
        <v>801</v>
      </c>
      <c r="D10" s="118" t="s">
        <v>76</v>
      </c>
      <c r="E10" s="141">
        <v>2.77</v>
      </c>
      <c r="F10" s="131">
        <v>220000</v>
      </c>
      <c r="G10" s="128">
        <f t="shared" ref="G10:G13" si="0">F10*E10</f>
        <v>609400</v>
      </c>
      <c r="H10" s="127">
        <v>360000</v>
      </c>
      <c r="I10" s="125">
        <f t="shared" ref="I10:I13" si="1">H10*E10</f>
        <v>997200</v>
      </c>
      <c r="J10" s="127"/>
      <c r="K10" s="121">
        <f t="shared" ref="K10:K13" si="2">I10+G10</f>
        <v>1606600</v>
      </c>
    </row>
    <row r="11" spans="1:16" s="13" customFormat="1" ht="19.5" customHeight="1" x14ac:dyDescent="0.3">
      <c r="A11" s="236" t="s">
        <v>796</v>
      </c>
      <c r="B11" s="236"/>
      <c r="C11" s="125" t="s">
        <v>802</v>
      </c>
      <c r="D11" s="118" t="s">
        <v>76</v>
      </c>
      <c r="E11" s="141">
        <v>2.77</v>
      </c>
      <c r="F11" s="127">
        <v>320000</v>
      </c>
      <c r="G11" s="128">
        <f t="shared" si="0"/>
        <v>886400</v>
      </c>
      <c r="H11" s="128">
        <v>430000</v>
      </c>
      <c r="I11" s="125">
        <f t="shared" si="1"/>
        <v>1191100</v>
      </c>
      <c r="J11" s="128"/>
      <c r="K11" s="121">
        <f t="shared" si="2"/>
        <v>2077500</v>
      </c>
    </row>
    <row r="12" spans="1:16" x14ac:dyDescent="0.3">
      <c r="A12" s="236" t="s">
        <v>797</v>
      </c>
      <c r="B12" s="236"/>
      <c r="C12" s="125" t="s">
        <v>803</v>
      </c>
      <c r="D12" s="118" t="s">
        <v>76</v>
      </c>
      <c r="E12" s="141">
        <v>2.77</v>
      </c>
      <c r="F12" s="127">
        <v>60000</v>
      </c>
      <c r="G12" s="128">
        <f t="shared" si="0"/>
        <v>166200</v>
      </c>
      <c r="H12" s="128">
        <v>650000</v>
      </c>
      <c r="I12" s="125">
        <f t="shared" si="1"/>
        <v>1800500</v>
      </c>
      <c r="J12" s="128"/>
      <c r="K12" s="121">
        <f t="shared" si="2"/>
        <v>1966700</v>
      </c>
    </row>
    <row r="13" spans="1:16" x14ac:dyDescent="0.3">
      <c r="A13" s="236" t="s">
        <v>798</v>
      </c>
      <c r="B13" s="236"/>
      <c r="C13" s="125" t="s">
        <v>799</v>
      </c>
      <c r="D13" s="118" t="s">
        <v>790</v>
      </c>
      <c r="E13" s="141">
        <v>1</v>
      </c>
      <c r="F13" s="127">
        <v>450000</v>
      </c>
      <c r="G13" s="128">
        <f t="shared" si="0"/>
        <v>450000</v>
      </c>
      <c r="H13" s="128">
        <v>2600000</v>
      </c>
      <c r="I13" s="125">
        <f t="shared" si="1"/>
        <v>2600000</v>
      </c>
      <c r="J13" s="128"/>
      <c r="K13" s="121">
        <f t="shared" si="2"/>
        <v>3050000</v>
      </c>
    </row>
    <row r="14" spans="1:16" s="13" customFormat="1" ht="19.5" customHeight="1" x14ac:dyDescent="0.3">
      <c r="A14" s="232" t="s">
        <v>130</v>
      </c>
      <c r="B14" s="233"/>
      <c r="C14" s="132" t="s">
        <v>131</v>
      </c>
      <c r="D14" s="118" t="s">
        <v>76</v>
      </c>
      <c r="E14" s="151">
        <v>28.24</v>
      </c>
      <c r="F14" s="115">
        <v>6300</v>
      </c>
      <c r="G14" s="116">
        <f>F14*E14</f>
        <v>177912</v>
      </c>
      <c r="H14" s="115"/>
      <c r="I14" s="125"/>
      <c r="J14" s="115"/>
      <c r="K14" s="125">
        <f>G14</f>
        <v>177912</v>
      </c>
    </row>
    <row r="15" spans="1:16" s="13" customFormat="1" ht="21" customHeight="1" x14ac:dyDescent="0.3">
      <c r="A15" s="234" t="s">
        <v>548</v>
      </c>
      <c r="B15" s="235"/>
      <c r="C15" s="17" t="s">
        <v>17</v>
      </c>
      <c r="D15" s="15" t="s">
        <v>3</v>
      </c>
      <c r="E15" s="138">
        <f>(0.092*E14)*2</f>
        <v>5.1961599999999999</v>
      </c>
      <c r="F15" s="131" t="s">
        <v>17</v>
      </c>
      <c r="G15" s="128"/>
      <c r="H15" s="127">
        <f>'  2025 하반기'!C24</f>
        <v>255231</v>
      </c>
      <c r="I15" s="125">
        <f t="shared" ref="I15:I16" si="3">H15*E15</f>
        <v>1326221.1129600001</v>
      </c>
      <c r="J15" s="127"/>
      <c r="K15" s="125">
        <f>I15</f>
        <v>1326221.1129600001</v>
      </c>
    </row>
    <row r="16" spans="1:16" s="13" customFormat="1" ht="21" customHeight="1" x14ac:dyDescent="0.3">
      <c r="A16" s="234" t="s">
        <v>549</v>
      </c>
      <c r="B16" s="235"/>
      <c r="C16" s="17" t="s">
        <v>17</v>
      </c>
      <c r="D16" s="15" t="s">
        <v>3</v>
      </c>
      <c r="E16" s="138">
        <f>(0.09*E14)*2</f>
        <v>5.0831999999999997</v>
      </c>
      <c r="F16" s="131" t="s">
        <v>17</v>
      </c>
      <c r="G16" s="128"/>
      <c r="H16" s="127">
        <f>'  2025 하반기'!C8</f>
        <v>171037</v>
      </c>
      <c r="I16" s="125">
        <f t="shared" si="3"/>
        <v>869415.27839999995</v>
      </c>
      <c r="J16" s="127"/>
      <c r="K16" s="125">
        <f t="shared" ref="K16:K17" si="4">I16</f>
        <v>869415.27839999995</v>
      </c>
      <c r="P16" s="134"/>
    </row>
    <row r="17" spans="1:13" s="114" customFormat="1" ht="19.5" customHeight="1" x14ac:dyDescent="0.3">
      <c r="A17" s="235" t="s">
        <v>129</v>
      </c>
      <c r="B17" s="235"/>
      <c r="C17" s="125"/>
      <c r="D17" s="126" t="s">
        <v>3</v>
      </c>
      <c r="E17" s="139">
        <f>(0.043*E14)*2</f>
        <v>2.4286399999999997</v>
      </c>
      <c r="F17" s="127"/>
      <c r="G17" s="140" t="s">
        <v>17</v>
      </c>
      <c r="H17" s="127">
        <f>'  2025 하반기'!C23</f>
        <v>258362</v>
      </c>
      <c r="I17" s="128">
        <f>H17*E17</f>
        <v>627468.28767999995</v>
      </c>
      <c r="J17" s="127"/>
      <c r="K17" s="125">
        <f t="shared" si="4"/>
        <v>627468.28767999995</v>
      </c>
    </row>
    <row r="18" spans="1:13" s="13" customFormat="1" ht="19.5" customHeight="1" x14ac:dyDescent="0.3">
      <c r="A18" s="234"/>
      <c r="B18" s="235"/>
      <c r="C18" s="17"/>
      <c r="D18" s="15"/>
      <c r="E18" s="152"/>
      <c r="F18" s="131"/>
      <c r="G18" s="128"/>
      <c r="H18" s="127"/>
      <c r="I18" s="125"/>
      <c r="J18" s="127"/>
      <c r="K18" s="121"/>
      <c r="M18" s="13" t="s">
        <v>17</v>
      </c>
    </row>
    <row r="19" spans="1:13" s="114" customFormat="1" ht="19.5" customHeight="1" x14ac:dyDescent="0.3">
      <c r="A19" s="231" t="s">
        <v>6</v>
      </c>
      <c r="B19" s="231"/>
      <c r="C19" s="125"/>
      <c r="D19" s="142"/>
      <c r="E19" s="139"/>
      <c r="F19" s="127"/>
      <c r="G19" s="125">
        <f>SUM(G9:G18)</f>
        <v>2663862</v>
      </c>
      <c r="H19" s="125"/>
      <c r="I19" s="125">
        <f t="shared" ref="I19:K19" si="5">SUM(I9:I18)</f>
        <v>15644404.67904</v>
      </c>
      <c r="J19" s="125"/>
      <c r="K19" s="125">
        <f t="shared" si="5"/>
        <v>18308266.67904</v>
      </c>
    </row>
    <row r="20" spans="1:13" x14ac:dyDescent="0.3">
      <c r="A20" s="236"/>
      <c r="B20" s="236"/>
      <c r="C20" s="125"/>
      <c r="D20" s="126"/>
      <c r="E20" s="135"/>
      <c r="F20" s="127"/>
      <c r="G20" s="128"/>
      <c r="H20" s="128"/>
      <c r="I20" s="128"/>
      <c r="J20" s="128"/>
      <c r="K20" s="121"/>
    </row>
    <row r="21" spans="1:13" x14ac:dyDescent="0.3">
      <c r="A21" s="236"/>
      <c r="B21" s="236"/>
      <c r="C21" s="125"/>
      <c r="D21" s="126"/>
      <c r="E21" s="135"/>
      <c r="F21" s="127"/>
      <c r="G21" s="128"/>
      <c r="H21" s="128"/>
      <c r="I21" s="128"/>
      <c r="J21" s="128"/>
      <c r="K21" s="121"/>
    </row>
    <row r="22" spans="1:13" s="114" customFormat="1" ht="19.5" customHeight="1" x14ac:dyDescent="0.3">
      <c r="A22" s="235"/>
      <c r="B22" s="235"/>
      <c r="C22" s="117"/>
      <c r="D22" s="118"/>
      <c r="E22" s="119"/>
      <c r="F22" s="120"/>
      <c r="G22" s="121"/>
      <c r="H22" s="120"/>
      <c r="I22" s="122"/>
      <c r="J22" s="120"/>
      <c r="K22" s="121"/>
    </row>
    <row r="23" spans="1:13" x14ac:dyDescent="0.3">
      <c r="A23" s="236"/>
      <c r="B23" s="236"/>
      <c r="C23" s="125"/>
      <c r="D23" s="126"/>
      <c r="E23" s="135"/>
      <c r="F23" s="127"/>
      <c r="G23" s="128"/>
      <c r="H23" s="128"/>
      <c r="I23" s="128"/>
      <c r="J23" s="128"/>
      <c r="K23" s="121"/>
    </row>
    <row r="24" spans="1:13" x14ac:dyDescent="0.3">
      <c r="A24" s="236"/>
      <c r="B24" s="236"/>
      <c r="C24" s="125"/>
      <c r="D24" s="126"/>
      <c r="E24" s="135"/>
      <c r="F24" s="127"/>
      <c r="G24" s="128"/>
      <c r="H24" s="128"/>
      <c r="I24" s="128"/>
      <c r="J24" s="128"/>
      <c r="K24" s="121"/>
    </row>
    <row r="25" spans="1:13" x14ac:dyDescent="0.3">
      <c r="A25" s="236"/>
      <c r="B25" s="236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3" x14ac:dyDescent="0.3">
      <c r="A26" s="236"/>
      <c r="B26" s="236"/>
      <c r="C26" s="125"/>
      <c r="D26" s="126"/>
      <c r="E26" s="135"/>
      <c r="F26" s="127"/>
      <c r="G26" s="128"/>
      <c r="H26" s="128"/>
      <c r="I26" s="128"/>
      <c r="J26" s="128"/>
      <c r="K26" s="121"/>
    </row>
    <row r="27" spans="1:13" x14ac:dyDescent="0.3">
      <c r="A27" s="231" t="s">
        <v>12</v>
      </c>
      <c r="B27" s="231"/>
      <c r="C27" s="125"/>
      <c r="D27" s="126"/>
      <c r="E27" s="135"/>
      <c r="F27" s="127"/>
      <c r="G27" s="128">
        <f>G19</f>
        <v>2663862</v>
      </c>
      <c r="H27" s="128"/>
      <c r="I27" s="128">
        <f>I19+I7</f>
        <v>16457234.67904</v>
      </c>
      <c r="J27" s="128"/>
      <c r="K27" s="121">
        <f>K7+K19</f>
        <v>19121097.476240002</v>
      </c>
    </row>
  </sheetData>
  <mergeCells count="32">
    <mergeCell ref="A8:B8"/>
    <mergeCell ref="F1:I1"/>
    <mergeCell ref="A2:B3"/>
    <mergeCell ref="C2:C3"/>
    <mergeCell ref="D2:D3"/>
    <mergeCell ref="E2:E3"/>
    <mergeCell ref="F2:G2"/>
    <mergeCell ref="H2:I2"/>
    <mergeCell ref="J2:K2"/>
    <mergeCell ref="A4:B4"/>
    <mergeCell ref="A5:B5"/>
    <mergeCell ref="A6:B6"/>
    <mergeCell ref="A7:B7"/>
    <mergeCell ref="A20:B20"/>
    <mergeCell ref="A14:B14"/>
    <mergeCell ref="A15:B15"/>
    <mergeCell ref="A16:B16"/>
    <mergeCell ref="A17:B17"/>
    <mergeCell ref="A18:B18"/>
    <mergeCell ref="A19:B19"/>
    <mergeCell ref="A9:B9"/>
    <mergeCell ref="A10:B10"/>
    <mergeCell ref="A11:B11"/>
    <mergeCell ref="A12:B12"/>
    <mergeCell ref="A13:B13"/>
    <mergeCell ref="A27:B27"/>
    <mergeCell ref="A21:B21"/>
    <mergeCell ref="A22:B22"/>
    <mergeCell ref="A23:B23"/>
    <mergeCell ref="A24:B24"/>
    <mergeCell ref="A25:B25"/>
    <mergeCell ref="A26:B26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E9F7-8E2C-44F7-A1DB-042AFFD3E8EE}">
  <dimension ref="A1:P26"/>
  <sheetViews>
    <sheetView view="pageBreakPreview" zoomScale="120" zoomScaleNormal="100" zoomScaleSheetLayoutView="120" workbookViewId="0">
      <selection activeCell="E17" sqref="E17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1" s="113" customFormat="1" ht="19.5" customHeight="1" x14ac:dyDescent="0.3">
      <c r="A1" s="106" t="s">
        <v>0</v>
      </c>
      <c r="B1" s="107" t="s">
        <v>806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1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1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1" s="13" customFormat="1" ht="19.5" customHeight="1" x14ac:dyDescent="0.3">
      <c r="A4" s="235" t="s">
        <v>780</v>
      </c>
      <c r="B4" s="235"/>
      <c r="C4" s="117" t="s">
        <v>17</v>
      </c>
      <c r="D4" s="118" t="s">
        <v>76</v>
      </c>
      <c r="E4" s="119">
        <v>53.69</v>
      </c>
      <c r="F4" s="120"/>
      <c r="G4" s="121"/>
      <c r="H4" s="120"/>
      <c r="I4" s="121"/>
      <c r="J4" s="120"/>
      <c r="K4" s="121"/>
    </row>
    <row r="5" spans="1:11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v>3</v>
      </c>
      <c r="F5" s="120"/>
      <c r="G5" s="121"/>
      <c r="H5" s="120">
        <f>'  2025 하반기'!C24</f>
        <v>255231</v>
      </c>
      <c r="I5" s="121">
        <f>E5*H5</f>
        <v>765693</v>
      </c>
      <c r="J5" s="120"/>
      <c r="K5" s="121">
        <f>I5</f>
        <v>765693</v>
      </c>
    </row>
    <row r="6" spans="1:11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2.7918799999999999</v>
      </c>
      <c r="F6" s="120"/>
      <c r="G6" s="121"/>
      <c r="H6" s="120">
        <f>'  2025 하반기'!C8</f>
        <v>171037</v>
      </c>
      <c r="I6" s="121">
        <f>E6*H6</f>
        <v>477514.77956</v>
      </c>
      <c r="J6" s="120"/>
      <c r="K6" s="121">
        <f>I6</f>
        <v>477514.77956</v>
      </c>
    </row>
    <row r="7" spans="1:11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1243207</v>
      </c>
      <c r="J7" s="127"/>
      <c r="K7" s="128">
        <f>SUM(K5:K6)</f>
        <v>1243207.7795599999</v>
      </c>
    </row>
    <row r="8" spans="1:11" s="114" customFormat="1" ht="19.5" customHeight="1" x14ac:dyDescent="0.3">
      <c r="A8" s="232" t="s">
        <v>804</v>
      </c>
      <c r="B8" s="233"/>
      <c r="C8" s="132"/>
      <c r="D8" s="118" t="s">
        <v>76</v>
      </c>
      <c r="E8" s="141">
        <v>20.68</v>
      </c>
      <c r="F8" s="115"/>
      <c r="G8" s="116"/>
      <c r="H8" s="115"/>
      <c r="I8" s="116"/>
      <c r="J8" s="115"/>
      <c r="K8" s="116"/>
    </row>
    <row r="9" spans="1:11" s="13" customFormat="1" ht="19.5" customHeight="1" x14ac:dyDescent="0.3">
      <c r="A9" s="235" t="s">
        <v>719</v>
      </c>
      <c r="B9" s="235"/>
      <c r="C9" s="117" t="s">
        <v>17</v>
      </c>
      <c r="D9" s="118" t="s">
        <v>76</v>
      </c>
      <c r="E9" s="156">
        <f>(4.44*E8)*2</f>
        <v>183.63840000000002</v>
      </c>
      <c r="F9" s="127">
        <v>6900</v>
      </c>
      <c r="G9" s="128">
        <f>F9*E9</f>
        <v>1267104.9600000002</v>
      </c>
      <c r="H9" s="127" t="s">
        <v>17</v>
      </c>
      <c r="I9" s="140" t="s">
        <v>17</v>
      </c>
      <c r="J9" s="127">
        <v>0</v>
      </c>
      <c r="K9" s="128">
        <f>G9</f>
        <v>1267104.9600000002</v>
      </c>
    </row>
    <row r="10" spans="1:11" s="13" customFormat="1" ht="19.5" customHeight="1" x14ac:dyDescent="0.3">
      <c r="A10" s="235" t="s">
        <v>720</v>
      </c>
      <c r="B10" s="235" t="s">
        <v>78</v>
      </c>
      <c r="C10" s="123" t="s">
        <v>17</v>
      </c>
      <c r="D10" s="118" t="s">
        <v>76</v>
      </c>
      <c r="E10" s="156">
        <f>(4.44*E8)*3</f>
        <v>275.45760000000001</v>
      </c>
      <c r="F10" s="127">
        <v>2200</v>
      </c>
      <c r="G10" s="128">
        <f t="shared" ref="G10:G12" si="0">F10*E10</f>
        <v>606006.72</v>
      </c>
      <c r="H10" s="127"/>
      <c r="I10" s="140" t="s">
        <v>17</v>
      </c>
      <c r="J10" s="127">
        <v>0</v>
      </c>
      <c r="K10" s="128">
        <f t="shared" ref="K10:K12" si="1">G10</f>
        <v>606006.72</v>
      </c>
    </row>
    <row r="11" spans="1:11" s="13" customFormat="1" ht="19.5" customHeight="1" x14ac:dyDescent="0.3">
      <c r="A11" s="235" t="s">
        <v>723</v>
      </c>
      <c r="B11" s="235" t="s">
        <v>78</v>
      </c>
      <c r="C11" s="123" t="s">
        <v>724</v>
      </c>
      <c r="D11" s="118" t="s">
        <v>76</v>
      </c>
      <c r="E11" s="156">
        <f>(1.05*E8)*2</f>
        <v>43.428000000000004</v>
      </c>
      <c r="F11" s="127">
        <v>11200</v>
      </c>
      <c r="G11" s="128">
        <f t="shared" si="0"/>
        <v>486393.60000000003</v>
      </c>
      <c r="H11" s="127"/>
      <c r="I11" s="140"/>
      <c r="J11" s="127"/>
      <c r="K11" s="128">
        <f t="shared" si="1"/>
        <v>486393.60000000003</v>
      </c>
    </row>
    <row r="12" spans="1:11" x14ac:dyDescent="0.3">
      <c r="A12" s="235" t="s">
        <v>726</v>
      </c>
      <c r="B12" s="235" t="s">
        <v>78</v>
      </c>
      <c r="C12" s="123" t="s">
        <v>131</v>
      </c>
      <c r="D12" s="118" t="s">
        <v>727</v>
      </c>
      <c r="E12" s="156">
        <f>E8</f>
        <v>20.68</v>
      </c>
      <c r="F12" s="127">
        <v>6300</v>
      </c>
      <c r="G12" s="128">
        <f t="shared" si="0"/>
        <v>130284</v>
      </c>
      <c r="H12" s="127"/>
      <c r="I12" s="140"/>
      <c r="J12" s="127"/>
      <c r="K12" s="128">
        <f t="shared" si="1"/>
        <v>130284</v>
      </c>
    </row>
    <row r="13" spans="1:11" x14ac:dyDescent="0.3">
      <c r="A13" s="235" t="s">
        <v>721</v>
      </c>
      <c r="B13" s="235"/>
      <c r="C13" s="125"/>
      <c r="D13" s="157" t="s">
        <v>718</v>
      </c>
      <c r="E13" s="156">
        <v>6.5</v>
      </c>
      <c r="F13" s="127"/>
      <c r="G13" s="140"/>
      <c r="H13" s="120">
        <f>'  2025 하반기'!C13</f>
        <v>237754</v>
      </c>
      <c r="I13" s="128">
        <f>H13*E13</f>
        <v>1545401</v>
      </c>
      <c r="J13" s="127"/>
      <c r="K13" s="128">
        <f>I13</f>
        <v>1545401</v>
      </c>
    </row>
    <row r="14" spans="1:11" s="13" customFormat="1" ht="19.5" customHeight="1" x14ac:dyDescent="0.3">
      <c r="A14" s="232" t="s">
        <v>549</v>
      </c>
      <c r="B14" s="233"/>
      <c r="C14" s="132"/>
      <c r="D14" s="157" t="s">
        <v>718</v>
      </c>
      <c r="E14" s="141">
        <v>2.6</v>
      </c>
      <c r="F14" s="115"/>
      <c r="G14" s="116"/>
      <c r="H14" s="150">
        <f>'  2025 하반기'!C8</f>
        <v>171037</v>
      </c>
      <c r="I14" s="128">
        <f t="shared" ref="I14:I16" si="2">H14*E14</f>
        <v>444696.2</v>
      </c>
      <c r="J14" s="115"/>
      <c r="K14" s="128">
        <f t="shared" ref="K14:K16" si="3">I14</f>
        <v>444696.2</v>
      </c>
    </row>
    <row r="15" spans="1:11" s="13" customFormat="1" ht="21" customHeight="1" x14ac:dyDescent="0.3">
      <c r="A15" s="235" t="s">
        <v>722</v>
      </c>
      <c r="B15" s="235"/>
      <c r="C15" s="117"/>
      <c r="D15" s="157" t="s">
        <v>718</v>
      </c>
      <c r="E15" s="156">
        <v>6.3</v>
      </c>
      <c r="F15" s="127"/>
      <c r="G15" s="128"/>
      <c r="H15" s="120">
        <f>'  2025 하반기'!C14</f>
        <v>280178</v>
      </c>
      <c r="I15" s="128">
        <f t="shared" si="2"/>
        <v>1765121.4</v>
      </c>
      <c r="J15" s="127"/>
      <c r="K15" s="128">
        <f t="shared" si="3"/>
        <v>1765121.4</v>
      </c>
    </row>
    <row r="16" spans="1:11" s="114" customFormat="1" ht="19.5" customHeight="1" x14ac:dyDescent="0.3">
      <c r="A16" s="235" t="s">
        <v>725</v>
      </c>
      <c r="B16" s="235"/>
      <c r="C16" s="125"/>
      <c r="D16" s="157" t="s">
        <v>718</v>
      </c>
      <c r="E16" s="156">
        <v>3.5</v>
      </c>
      <c r="F16" s="127"/>
      <c r="G16" s="140"/>
      <c r="H16" s="120">
        <f>'  2025 하반기'!C23</f>
        <v>258362</v>
      </c>
      <c r="I16" s="128">
        <f t="shared" si="2"/>
        <v>904267</v>
      </c>
      <c r="J16" s="127"/>
      <c r="K16" s="128">
        <f t="shared" si="3"/>
        <v>904267</v>
      </c>
    </row>
    <row r="17" spans="1:16" x14ac:dyDescent="0.3">
      <c r="A17" s="231" t="s">
        <v>6</v>
      </c>
      <c r="B17" s="231"/>
      <c r="C17" s="125"/>
      <c r="D17" s="126"/>
      <c r="E17" s="156"/>
      <c r="F17" s="127"/>
      <c r="G17" s="125">
        <f>INT(SUM(G9:G16))</f>
        <v>2489789</v>
      </c>
      <c r="H17" s="125" t="s">
        <v>17</v>
      </c>
      <c r="I17" s="125">
        <f>INT(SUM(I9:I16))</f>
        <v>4659485</v>
      </c>
      <c r="J17" s="125" t="s">
        <v>17</v>
      </c>
      <c r="K17" s="125">
        <f>INT(SUM(K9:K16))</f>
        <v>7149274</v>
      </c>
    </row>
    <row r="18" spans="1:16" s="114" customFormat="1" ht="19.5" customHeight="1" x14ac:dyDescent="0.3">
      <c r="A18" s="232" t="s">
        <v>805</v>
      </c>
      <c r="B18" s="233"/>
      <c r="C18" s="132" t="s">
        <v>17</v>
      </c>
      <c r="D18" s="118" t="s">
        <v>76</v>
      </c>
      <c r="E18" s="129">
        <v>2.12</v>
      </c>
      <c r="F18" s="115"/>
      <c r="G18" s="116"/>
      <c r="H18" s="115"/>
      <c r="I18" s="116"/>
      <c r="J18" s="115"/>
      <c r="K18" s="116"/>
    </row>
    <row r="19" spans="1:16" s="13" customFormat="1" ht="19.5" customHeight="1" x14ac:dyDescent="0.3">
      <c r="A19" s="234" t="s">
        <v>550</v>
      </c>
      <c r="B19" s="235"/>
      <c r="C19" s="17" t="s">
        <v>710</v>
      </c>
      <c r="D19" s="118" t="s">
        <v>76</v>
      </c>
      <c r="E19" s="130">
        <f>E18</f>
        <v>2.12</v>
      </c>
      <c r="F19" s="131">
        <v>8300</v>
      </c>
      <c r="G19" s="128">
        <f>F19*E19</f>
        <v>17596</v>
      </c>
      <c r="H19" s="127" t="s">
        <v>17</v>
      </c>
      <c r="I19" s="125" t="s">
        <v>17</v>
      </c>
      <c r="J19" s="127"/>
      <c r="K19" s="125">
        <f>G19</f>
        <v>17596</v>
      </c>
    </row>
    <row r="20" spans="1:16" s="13" customFormat="1" ht="21" customHeight="1" x14ac:dyDescent="0.3">
      <c r="A20" s="232" t="s">
        <v>130</v>
      </c>
      <c r="B20" s="233"/>
      <c r="C20" s="132" t="s">
        <v>131</v>
      </c>
      <c r="D20" s="118" t="s">
        <v>76</v>
      </c>
      <c r="E20" s="129">
        <f>E18</f>
        <v>2.12</v>
      </c>
      <c r="F20" s="133">
        <v>6300</v>
      </c>
      <c r="G20" s="116">
        <f>F20*E20</f>
        <v>13356</v>
      </c>
      <c r="H20" s="115"/>
      <c r="I20" s="116"/>
      <c r="J20" s="115"/>
      <c r="K20" s="125">
        <f t="shared" ref="K20:K21" si="4">G20</f>
        <v>13356</v>
      </c>
      <c r="P20" s="134"/>
    </row>
    <row r="21" spans="1:16" s="13" customFormat="1" ht="21" customHeight="1" x14ac:dyDescent="0.3">
      <c r="A21" s="232" t="s">
        <v>730</v>
      </c>
      <c r="B21" s="233"/>
      <c r="C21" s="132" t="s">
        <v>785</v>
      </c>
      <c r="D21" s="118" t="s">
        <v>76</v>
      </c>
      <c r="E21" s="129">
        <v>1.85</v>
      </c>
      <c r="F21" s="133">
        <v>9000</v>
      </c>
      <c r="G21" s="116">
        <f>F21*E21</f>
        <v>16650</v>
      </c>
      <c r="H21" s="115"/>
      <c r="I21" s="116"/>
      <c r="J21" s="115"/>
      <c r="K21" s="125">
        <f t="shared" si="4"/>
        <v>16650</v>
      </c>
      <c r="P21" s="134"/>
    </row>
    <row r="22" spans="1:16" s="13" customFormat="1" ht="19.5" customHeight="1" x14ac:dyDescent="0.3">
      <c r="A22" s="234" t="s">
        <v>548</v>
      </c>
      <c r="B22" s="235"/>
      <c r="C22" s="17" t="s">
        <v>17</v>
      </c>
      <c r="D22" s="15" t="s">
        <v>3</v>
      </c>
      <c r="E22" s="130">
        <v>2.6</v>
      </c>
      <c r="F22" s="131" t="s">
        <v>17</v>
      </c>
      <c r="G22" s="128"/>
      <c r="H22" s="127">
        <f>'  2025 하반기'!C32</f>
        <v>237500</v>
      </c>
      <c r="I22" s="125">
        <f t="shared" ref="I22" si="5">H22*E22</f>
        <v>617500</v>
      </c>
      <c r="J22" s="127"/>
      <c r="K22" s="125">
        <f>I22</f>
        <v>617500</v>
      </c>
    </row>
    <row r="23" spans="1:16" s="13" customFormat="1" ht="19.5" customHeight="1" x14ac:dyDescent="0.3">
      <c r="A23" s="236" t="s">
        <v>49</v>
      </c>
      <c r="B23" s="236"/>
      <c r="C23" s="125"/>
      <c r="D23" s="126" t="s">
        <v>3</v>
      </c>
      <c r="E23" s="135">
        <v>2.2000000000000002</v>
      </c>
      <c r="F23" s="127"/>
      <c r="G23" s="128"/>
      <c r="H23" s="127">
        <f>'  2025 하반기'!C31</f>
        <v>214975</v>
      </c>
      <c r="I23" s="125">
        <f>H23*E23</f>
        <v>472945.00000000006</v>
      </c>
      <c r="J23" s="127"/>
      <c r="K23" s="125">
        <f t="shared" ref="K23:K25" si="6">I23</f>
        <v>472945.00000000006</v>
      </c>
    </row>
    <row r="24" spans="1:16" s="13" customFormat="1" ht="19.5" customHeight="1" x14ac:dyDescent="0.3">
      <c r="A24" s="236" t="s">
        <v>732</v>
      </c>
      <c r="B24" s="236"/>
      <c r="C24" s="125"/>
      <c r="D24" s="126" t="s">
        <v>718</v>
      </c>
      <c r="E24" s="135">
        <v>1</v>
      </c>
      <c r="F24" s="127"/>
      <c r="G24" s="128"/>
      <c r="H24" s="127">
        <f>'  2025 하반기'!C27</f>
        <v>239439</v>
      </c>
      <c r="I24" s="125">
        <f>H24*E24</f>
        <v>239439</v>
      </c>
      <c r="J24" s="127"/>
      <c r="K24" s="125">
        <f t="shared" si="6"/>
        <v>239439</v>
      </c>
    </row>
    <row r="25" spans="1:16" s="13" customFormat="1" ht="21" customHeight="1" x14ac:dyDescent="0.3">
      <c r="A25" s="231" t="s">
        <v>6</v>
      </c>
      <c r="B25" s="231"/>
      <c r="C25" s="125"/>
      <c r="D25" s="142"/>
      <c r="E25" s="135"/>
      <c r="F25" s="127"/>
      <c r="G25" s="125">
        <f>SUM(G19:G24)</f>
        <v>47602</v>
      </c>
      <c r="H25" s="125" t="s">
        <v>17</v>
      </c>
      <c r="I25" s="125">
        <f>SUM(I19:I24)</f>
        <v>1329884</v>
      </c>
      <c r="J25" s="125"/>
      <c r="K25" s="125">
        <f t="shared" si="6"/>
        <v>1329884</v>
      </c>
      <c r="P25" s="134"/>
    </row>
    <row r="26" spans="1:16" x14ac:dyDescent="0.3">
      <c r="A26" s="231" t="s">
        <v>12</v>
      </c>
      <c r="B26" s="231"/>
      <c r="C26" s="125"/>
      <c r="D26" s="126"/>
      <c r="E26" s="135"/>
      <c r="F26" s="127"/>
      <c r="G26" s="128">
        <f>G17+G7+G25</f>
        <v>2537391</v>
      </c>
      <c r="H26" s="128"/>
      <c r="I26" s="128">
        <f t="shared" ref="I26:K26" si="7">I17+I7+I25</f>
        <v>7232576</v>
      </c>
      <c r="J26" s="128"/>
      <c r="K26" s="128">
        <f t="shared" si="7"/>
        <v>9722365.7795599997</v>
      </c>
    </row>
  </sheetData>
  <mergeCells count="31">
    <mergeCell ref="A8:B8"/>
    <mergeCell ref="F1:I1"/>
    <mergeCell ref="A2:B3"/>
    <mergeCell ref="C2:C3"/>
    <mergeCell ref="D2:D3"/>
    <mergeCell ref="E2:E3"/>
    <mergeCell ref="F2:G2"/>
    <mergeCell ref="H2:I2"/>
    <mergeCell ref="J2:K2"/>
    <mergeCell ref="A4:B4"/>
    <mergeCell ref="A5:B5"/>
    <mergeCell ref="A6:B6"/>
    <mergeCell ref="A7:B7"/>
    <mergeCell ref="A15:B15"/>
    <mergeCell ref="A16:B16"/>
    <mergeCell ref="A17:B17"/>
    <mergeCell ref="A9:B9"/>
    <mergeCell ref="A10:B10"/>
    <mergeCell ref="A11:B11"/>
    <mergeCell ref="A12:B12"/>
    <mergeCell ref="A13:B13"/>
    <mergeCell ref="A14:B14"/>
    <mergeCell ref="A25:B25"/>
    <mergeCell ref="A26:B26"/>
    <mergeCell ref="A18:B18"/>
    <mergeCell ref="A19:B19"/>
    <mergeCell ref="A20:B20"/>
    <mergeCell ref="A21:B21"/>
    <mergeCell ref="A22:B22"/>
    <mergeCell ref="A23:B23"/>
    <mergeCell ref="A24:B24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16FD-EEE9-44B2-9390-C2C838B0734A}">
  <dimension ref="A1:P26"/>
  <sheetViews>
    <sheetView view="pageBreakPreview" zoomScale="120" zoomScaleNormal="100" zoomScaleSheetLayoutView="120" workbookViewId="0">
      <selection activeCell="E16" sqref="E16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1" s="113" customFormat="1" ht="19.5" customHeight="1" x14ac:dyDescent="0.3">
      <c r="A1" s="106" t="s">
        <v>0</v>
      </c>
      <c r="B1" s="107" t="s">
        <v>809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1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1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1" s="13" customFormat="1" ht="19.5" customHeight="1" x14ac:dyDescent="0.3">
      <c r="A4" s="235" t="s">
        <v>780</v>
      </c>
      <c r="B4" s="235"/>
      <c r="C4" s="117" t="s">
        <v>17</v>
      </c>
      <c r="D4" s="118" t="s">
        <v>76</v>
      </c>
      <c r="E4" s="119">
        <v>12.3</v>
      </c>
      <c r="F4" s="120"/>
      <c r="G4" s="121"/>
      <c r="H4" s="120"/>
      <c r="I4" s="121"/>
      <c r="J4" s="120"/>
      <c r="K4" s="121"/>
    </row>
    <row r="5" spans="1:11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v>3</v>
      </c>
      <c r="F5" s="120"/>
      <c r="G5" s="121"/>
      <c r="H5" s="120">
        <f>'  2025 하반기'!C24</f>
        <v>255231</v>
      </c>
      <c r="I5" s="121">
        <f>E5*H5</f>
        <v>765693</v>
      </c>
      <c r="J5" s="120"/>
      <c r="K5" s="121">
        <f>I5</f>
        <v>765693</v>
      </c>
    </row>
    <row r="6" spans="1:11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0.63960000000000006</v>
      </c>
      <c r="F6" s="120"/>
      <c r="G6" s="121"/>
      <c r="H6" s="120">
        <f>'  2025 하반기'!C8</f>
        <v>171037</v>
      </c>
      <c r="I6" s="121">
        <f>E6*H6</f>
        <v>109395.26520000001</v>
      </c>
      <c r="J6" s="120"/>
      <c r="K6" s="121">
        <f>I6</f>
        <v>109395.26520000001</v>
      </c>
    </row>
    <row r="7" spans="1:11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875088</v>
      </c>
      <c r="J7" s="127"/>
      <c r="K7" s="128">
        <f>SUM(K5:K6)</f>
        <v>875088.26520000002</v>
      </c>
    </row>
    <row r="8" spans="1:11" s="114" customFormat="1" ht="19.5" customHeight="1" x14ac:dyDescent="0.3">
      <c r="A8" s="248" t="s">
        <v>807</v>
      </c>
      <c r="B8" s="249"/>
      <c r="C8" s="250"/>
      <c r="D8" s="118" t="s">
        <v>76</v>
      </c>
      <c r="E8" s="141">
        <v>3.67</v>
      </c>
      <c r="F8" s="115"/>
      <c r="G8" s="116"/>
      <c r="H8" s="115"/>
      <c r="I8" s="116"/>
      <c r="J8" s="115"/>
      <c r="K8" s="116"/>
    </row>
    <row r="9" spans="1:11" s="13" customFormat="1" ht="19.5" customHeight="1" x14ac:dyDescent="0.3">
      <c r="A9" s="234" t="s">
        <v>550</v>
      </c>
      <c r="B9" s="235"/>
      <c r="C9" s="17" t="s">
        <v>710</v>
      </c>
      <c r="D9" s="118" t="s">
        <v>76</v>
      </c>
      <c r="E9" s="130">
        <f>E8*2</f>
        <v>7.34</v>
      </c>
      <c r="F9" s="131">
        <v>8300</v>
      </c>
      <c r="G9" s="128">
        <f>F9*E9</f>
        <v>60922</v>
      </c>
      <c r="H9" s="127" t="s">
        <v>17</v>
      </c>
      <c r="I9" s="125" t="s">
        <v>17</v>
      </c>
      <c r="J9" s="127"/>
      <c r="K9" s="125">
        <f>G9</f>
        <v>60922</v>
      </c>
    </row>
    <row r="10" spans="1:11" s="13" customFormat="1" ht="19.5" customHeight="1" x14ac:dyDescent="0.3">
      <c r="A10" s="232" t="s">
        <v>130</v>
      </c>
      <c r="B10" s="233"/>
      <c r="C10" s="132" t="s">
        <v>131</v>
      </c>
      <c r="D10" s="118" t="s">
        <v>76</v>
      </c>
      <c r="E10" s="129">
        <f>E8*2</f>
        <v>7.34</v>
      </c>
      <c r="F10" s="133">
        <v>6300</v>
      </c>
      <c r="G10" s="116">
        <f>F10*E10</f>
        <v>46242</v>
      </c>
      <c r="H10" s="115"/>
      <c r="I10" s="116"/>
      <c r="J10" s="115"/>
      <c r="K10" s="125">
        <f t="shared" ref="K10:K11" si="0">G10</f>
        <v>46242</v>
      </c>
    </row>
    <row r="11" spans="1:11" s="13" customFormat="1" ht="19.5" customHeight="1" x14ac:dyDescent="0.3">
      <c r="A11" s="232" t="s">
        <v>730</v>
      </c>
      <c r="B11" s="233"/>
      <c r="C11" s="132" t="s">
        <v>785</v>
      </c>
      <c r="D11" s="118" t="s">
        <v>76</v>
      </c>
      <c r="E11" s="129">
        <v>1.85</v>
      </c>
      <c r="F11" s="133">
        <v>9000</v>
      </c>
      <c r="G11" s="116">
        <f>F11*E11</f>
        <v>16650</v>
      </c>
      <c r="H11" s="115"/>
      <c r="I11" s="116"/>
      <c r="J11" s="115"/>
      <c r="K11" s="125">
        <f t="shared" si="0"/>
        <v>16650</v>
      </c>
    </row>
    <row r="12" spans="1:11" x14ac:dyDescent="0.3">
      <c r="A12" s="234" t="s">
        <v>548</v>
      </c>
      <c r="B12" s="235"/>
      <c r="C12" s="17" t="s">
        <v>17</v>
      </c>
      <c r="D12" s="15" t="s">
        <v>3</v>
      </c>
      <c r="E12" s="130">
        <v>3.5</v>
      </c>
      <c r="F12" s="131" t="s">
        <v>17</v>
      </c>
      <c r="G12" s="128"/>
      <c r="H12" s="127">
        <f>'  2025 하반기'!C24</f>
        <v>255231</v>
      </c>
      <c r="I12" s="125">
        <f t="shared" ref="I12" si="1">H12*E12</f>
        <v>893308.5</v>
      </c>
      <c r="J12" s="127"/>
      <c r="K12" s="125">
        <f>I12</f>
        <v>893308.5</v>
      </c>
    </row>
    <row r="13" spans="1:11" x14ac:dyDescent="0.3">
      <c r="A13" s="236" t="s">
        <v>49</v>
      </c>
      <c r="B13" s="236"/>
      <c r="C13" s="125"/>
      <c r="D13" s="126" t="s">
        <v>3</v>
      </c>
      <c r="E13" s="135">
        <v>3.6</v>
      </c>
      <c r="F13" s="127"/>
      <c r="G13" s="128"/>
      <c r="H13" s="127">
        <f>'  2025 하반기'!C23</f>
        <v>258362</v>
      </c>
      <c r="I13" s="125">
        <f>H13*E13</f>
        <v>930103.20000000007</v>
      </c>
      <c r="J13" s="127"/>
      <c r="K13" s="125">
        <f t="shared" ref="K13:K14" si="2">I13</f>
        <v>930103.20000000007</v>
      </c>
    </row>
    <row r="14" spans="1:11" s="13" customFormat="1" ht="19.5" customHeight="1" x14ac:dyDescent="0.3">
      <c r="A14" s="236" t="s">
        <v>732</v>
      </c>
      <c r="B14" s="236"/>
      <c r="C14" s="125"/>
      <c r="D14" s="126" t="s">
        <v>718</v>
      </c>
      <c r="E14" s="135">
        <v>1</v>
      </c>
      <c r="F14" s="127"/>
      <c r="G14" s="128"/>
      <c r="H14" s="127">
        <f>'  2025 하반기'!C19</f>
        <v>250389</v>
      </c>
      <c r="I14" s="125">
        <f>H14*E14</f>
        <v>250389</v>
      </c>
      <c r="J14" s="127"/>
      <c r="K14" s="125">
        <f t="shared" si="2"/>
        <v>250389</v>
      </c>
    </row>
    <row r="15" spans="1:11" s="114" customFormat="1" ht="19.5" customHeight="1" x14ac:dyDescent="0.3">
      <c r="A15" s="235" t="s">
        <v>4</v>
      </c>
      <c r="B15" s="235"/>
      <c r="C15" s="123"/>
      <c r="D15" s="124" t="s">
        <v>3</v>
      </c>
      <c r="E15" s="119">
        <v>3.5</v>
      </c>
      <c r="F15" s="120"/>
      <c r="G15" s="121"/>
      <c r="H15" s="120">
        <f>'  2025 하반기'!C17</f>
        <v>283068</v>
      </c>
      <c r="I15" s="121">
        <f>E15*H15</f>
        <v>990738</v>
      </c>
      <c r="J15" s="120"/>
      <c r="K15" s="121">
        <f>I15</f>
        <v>990738</v>
      </c>
    </row>
    <row r="16" spans="1:11" s="13" customFormat="1" ht="21" customHeight="1" x14ac:dyDescent="0.3">
      <c r="A16" s="231" t="s">
        <v>6</v>
      </c>
      <c r="B16" s="231"/>
      <c r="C16" s="125"/>
      <c r="D16" s="142"/>
      <c r="E16" s="135"/>
      <c r="F16" s="127"/>
      <c r="G16" s="125">
        <f>SUM(G9:G14)</f>
        <v>123814</v>
      </c>
      <c r="H16" s="125" t="s">
        <v>17</v>
      </c>
      <c r="I16" s="125">
        <f>SUM(I9:I15)</f>
        <v>3064538.7</v>
      </c>
      <c r="J16" s="125"/>
      <c r="K16" s="125">
        <f>I16+G16</f>
        <v>3188352.7</v>
      </c>
    </row>
    <row r="17" spans="1:16" s="114" customFormat="1" ht="19.5" customHeight="1" x14ac:dyDescent="0.3">
      <c r="A17" s="235"/>
      <c r="B17" s="235"/>
      <c r="C17" s="125"/>
      <c r="D17" s="157"/>
      <c r="E17" s="156"/>
      <c r="F17" s="127"/>
      <c r="G17" s="140"/>
      <c r="H17" s="127"/>
      <c r="I17" s="128"/>
      <c r="J17" s="127"/>
      <c r="K17" s="128"/>
    </row>
    <row r="18" spans="1:16" x14ac:dyDescent="0.3">
      <c r="A18" s="231"/>
      <c r="B18" s="231"/>
      <c r="C18" s="125"/>
      <c r="D18" s="126"/>
      <c r="E18" s="156"/>
      <c r="F18" s="127"/>
      <c r="G18" s="125"/>
      <c r="H18" s="125"/>
      <c r="I18" s="125"/>
      <c r="J18" s="125"/>
      <c r="K18" s="125"/>
    </row>
    <row r="19" spans="1:16" s="114" customFormat="1" ht="19.5" customHeight="1" x14ac:dyDescent="0.3">
      <c r="A19" s="232"/>
      <c r="B19" s="233"/>
      <c r="C19" s="132"/>
      <c r="D19" s="118"/>
      <c r="E19" s="129"/>
      <c r="F19" s="115"/>
      <c r="G19" s="116"/>
      <c r="H19" s="115"/>
      <c r="I19" s="116"/>
      <c r="J19" s="115"/>
      <c r="K19" s="116"/>
    </row>
    <row r="20" spans="1:16" s="13" customFormat="1" ht="19.5" customHeight="1" x14ac:dyDescent="0.3">
      <c r="A20" s="234"/>
      <c r="B20" s="235"/>
      <c r="C20" s="17"/>
      <c r="D20" s="118"/>
      <c r="E20" s="130"/>
      <c r="F20" s="131"/>
      <c r="G20" s="128"/>
      <c r="H20" s="127"/>
      <c r="I20" s="125"/>
      <c r="J20" s="127"/>
      <c r="K20" s="125"/>
    </row>
    <row r="21" spans="1:16" s="13" customFormat="1" ht="21" customHeight="1" x14ac:dyDescent="0.3">
      <c r="A21" s="232"/>
      <c r="B21" s="233"/>
      <c r="C21" s="132"/>
      <c r="D21" s="118"/>
      <c r="E21" s="129"/>
      <c r="F21" s="133"/>
      <c r="G21" s="116"/>
      <c r="H21" s="115"/>
      <c r="I21" s="116"/>
      <c r="J21" s="115"/>
      <c r="K21" s="125"/>
      <c r="P21" s="134"/>
    </row>
    <row r="22" spans="1:16" s="13" customFormat="1" ht="21" customHeight="1" x14ac:dyDescent="0.3">
      <c r="A22" s="232"/>
      <c r="B22" s="233"/>
      <c r="C22" s="132"/>
      <c r="D22" s="118"/>
      <c r="E22" s="129"/>
      <c r="F22" s="133"/>
      <c r="G22" s="116"/>
      <c r="H22" s="115"/>
      <c r="I22" s="116"/>
      <c r="J22" s="115"/>
      <c r="K22" s="125"/>
      <c r="P22" s="134"/>
    </row>
    <row r="23" spans="1:16" s="13" customFormat="1" ht="19.5" customHeight="1" x14ac:dyDescent="0.3">
      <c r="A23" s="234"/>
      <c r="B23" s="235"/>
      <c r="C23" s="17"/>
      <c r="D23" s="15"/>
      <c r="E23" s="130"/>
      <c r="F23" s="131"/>
      <c r="G23" s="128"/>
      <c r="H23" s="127"/>
      <c r="I23" s="125"/>
      <c r="J23" s="127"/>
      <c r="K23" s="125"/>
    </row>
    <row r="24" spans="1:16" s="13" customFormat="1" ht="19.5" customHeight="1" x14ac:dyDescent="0.3">
      <c r="A24" s="236"/>
      <c r="B24" s="236"/>
      <c r="C24" s="125"/>
      <c r="D24" s="126"/>
      <c r="E24" s="135"/>
      <c r="F24" s="127"/>
      <c r="G24" s="128"/>
      <c r="H24" s="127"/>
      <c r="I24" s="125"/>
      <c r="J24" s="127"/>
      <c r="K24" s="125"/>
    </row>
    <row r="25" spans="1:16" s="13" customFormat="1" ht="21" customHeight="1" x14ac:dyDescent="0.3">
      <c r="A25" s="231"/>
      <c r="B25" s="231"/>
      <c r="C25" s="125"/>
      <c r="D25" s="142"/>
      <c r="E25" s="135"/>
      <c r="F25" s="127"/>
      <c r="G25" s="125"/>
      <c r="H25" s="125"/>
      <c r="I25" s="125"/>
      <c r="J25" s="125"/>
      <c r="K25" s="125"/>
      <c r="P25" s="134"/>
    </row>
    <row r="26" spans="1:16" x14ac:dyDescent="0.3">
      <c r="A26" s="231" t="s">
        <v>12</v>
      </c>
      <c r="B26" s="231"/>
      <c r="C26" s="125"/>
      <c r="D26" s="126"/>
      <c r="E26" s="135"/>
      <c r="F26" s="127"/>
      <c r="G26" s="128">
        <f>G16</f>
        <v>123814</v>
      </c>
      <c r="H26" s="128"/>
      <c r="I26" s="128">
        <f>I16+I7</f>
        <v>3939626.7</v>
      </c>
      <c r="J26" s="128" t="s">
        <v>17</v>
      </c>
      <c r="K26" s="128">
        <f t="shared" ref="K26" si="3">K16+K7</f>
        <v>4063440.9652000004</v>
      </c>
    </row>
  </sheetData>
  <mergeCells count="31">
    <mergeCell ref="F1:I1"/>
    <mergeCell ref="A2:B3"/>
    <mergeCell ref="C2:C3"/>
    <mergeCell ref="D2:D3"/>
    <mergeCell ref="E2:E3"/>
    <mergeCell ref="F2:G2"/>
    <mergeCell ref="H2:I2"/>
    <mergeCell ref="A14:B14"/>
    <mergeCell ref="J2:K2"/>
    <mergeCell ref="A4:B4"/>
    <mergeCell ref="A5:B5"/>
    <mergeCell ref="A6:B6"/>
    <mergeCell ref="A7:B7"/>
    <mergeCell ref="A8:C8"/>
    <mergeCell ref="A9:B9"/>
    <mergeCell ref="A10:B10"/>
    <mergeCell ref="A11:B11"/>
    <mergeCell ref="A12:B12"/>
    <mergeCell ref="A13:B13"/>
    <mergeCell ref="A26:B26"/>
    <mergeCell ref="A16:B16"/>
    <mergeCell ref="A17:B17"/>
    <mergeCell ref="A18:B18"/>
    <mergeCell ref="A19:B19"/>
    <mergeCell ref="A20:B20"/>
    <mergeCell ref="A21:B21"/>
    <mergeCell ref="A15:B15"/>
    <mergeCell ref="A22:B22"/>
    <mergeCell ref="A23:B23"/>
    <mergeCell ref="A24:B24"/>
    <mergeCell ref="A25:B25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E387-4CFB-42B4-BE90-54DC4793DB1B}">
  <dimension ref="A1:P26"/>
  <sheetViews>
    <sheetView view="pageBreakPreview" zoomScale="120" zoomScaleNormal="100" zoomScaleSheetLayoutView="120" workbookViewId="0">
      <selection activeCell="I25" sqref="I25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808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14" customFormat="1" ht="19.5" customHeight="1" x14ac:dyDescent="0.3">
      <c r="A4" s="232" t="s">
        <v>812</v>
      </c>
      <c r="B4" s="233"/>
      <c r="C4" s="132" t="s">
        <v>813</v>
      </c>
      <c r="D4" s="118" t="s">
        <v>76</v>
      </c>
      <c r="E4" s="129">
        <v>0.75</v>
      </c>
      <c r="F4" s="115"/>
      <c r="G4" s="116"/>
      <c r="H4" s="115"/>
      <c r="I4" s="116"/>
      <c r="J4" s="115"/>
      <c r="K4" s="121"/>
    </row>
    <row r="5" spans="1:16" s="13" customFormat="1" ht="19.5" customHeight="1" x14ac:dyDescent="0.3">
      <c r="A5" s="234" t="s">
        <v>550</v>
      </c>
      <c r="B5" s="235"/>
      <c r="C5" s="17" t="s">
        <v>710</v>
      </c>
      <c r="D5" s="118" t="s">
        <v>76</v>
      </c>
      <c r="E5" s="130">
        <f>E4*4</f>
        <v>3</v>
      </c>
      <c r="F5" s="131">
        <v>8300</v>
      </c>
      <c r="G5" s="128">
        <f>F5*E5</f>
        <v>24900</v>
      </c>
      <c r="H5" s="127" t="s">
        <v>17</v>
      </c>
      <c r="I5" s="125" t="s">
        <v>17</v>
      </c>
      <c r="J5" s="127"/>
      <c r="K5" s="121">
        <f>G5</f>
        <v>24900</v>
      </c>
    </row>
    <row r="6" spans="1:16" s="13" customFormat="1" ht="21" customHeight="1" x14ac:dyDescent="0.3">
      <c r="A6" s="232" t="s">
        <v>730</v>
      </c>
      <c r="B6" s="233"/>
      <c r="C6" s="132" t="s">
        <v>772</v>
      </c>
      <c r="D6" s="118" t="s">
        <v>76</v>
      </c>
      <c r="E6" s="130">
        <f>E4*3</f>
        <v>2.25</v>
      </c>
      <c r="F6" s="133">
        <v>19000</v>
      </c>
      <c r="G6" s="116">
        <f>F6*E6</f>
        <v>42750</v>
      </c>
      <c r="H6" s="115"/>
      <c r="I6" s="116"/>
      <c r="J6" s="115"/>
      <c r="K6" s="125">
        <f t="shared" ref="K6:K7" si="0">G6</f>
        <v>42750</v>
      </c>
      <c r="P6" s="134"/>
    </row>
    <row r="7" spans="1:16" s="13" customFormat="1" ht="21" customHeight="1" x14ac:dyDescent="0.3">
      <c r="A7" s="232" t="s">
        <v>130</v>
      </c>
      <c r="B7" s="233"/>
      <c r="C7" s="132" t="s">
        <v>131</v>
      </c>
      <c r="D7" s="118" t="s">
        <v>76</v>
      </c>
      <c r="E7" s="129">
        <f>E4*2</f>
        <v>1.5</v>
      </c>
      <c r="F7" s="133">
        <v>6300</v>
      </c>
      <c r="G7" s="116">
        <f>F7*E7</f>
        <v>9450</v>
      </c>
      <c r="H7" s="115"/>
      <c r="I7" s="125" t="s">
        <v>17</v>
      </c>
      <c r="J7" s="115"/>
      <c r="K7" s="121">
        <f t="shared" si="0"/>
        <v>9450</v>
      </c>
      <c r="P7" s="134"/>
    </row>
    <row r="8" spans="1:16" s="13" customFormat="1" ht="19.5" customHeight="1" x14ac:dyDescent="0.3">
      <c r="A8" s="234" t="s">
        <v>548</v>
      </c>
      <c r="B8" s="235"/>
      <c r="C8" s="17" t="s">
        <v>17</v>
      </c>
      <c r="D8" s="15" t="s">
        <v>3</v>
      </c>
      <c r="E8" s="130">
        <f>0.34*E4*2</f>
        <v>0.51</v>
      </c>
      <c r="F8" s="131" t="s">
        <v>17</v>
      </c>
      <c r="G8" s="128"/>
      <c r="H8" s="127">
        <f>'  2025 하반기'!C24</f>
        <v>255231</v>
      </c>
      <c r="I8" s="125">
        <f t="shared" ref="I8:I9" si="1">H8*E8</f>
        <v>130167.81</v>
      </c>
      <c r="J8" s="127"/>
      <c r="K8" s="121">
        <f t="shared" ref="K8:K11" si="2">I8+G8</f>
        <v>130167.81</v>
      </c>
    </row>
    <row r="9" spans="1:16" s="114" customFormat="1" ht="19.5" customHeight="1" x14ac:dyDescent="0.3">
      <c r="A9" s="234" t="s">
        <v>549</v>
      </c>
      <c r="B9" s="235"/>
      <c r="C9" s="17" t="s">
        <v>17</v>
      </c>
      <c r="D9" s="15" t="s">
        <v>3</v>
      </c>
      <c r="E9" s="130">
        <f>0.21*E4*2</f>
        <v>0.315</v>
      </c>
      <c r="F9" s="131" t="s">
        <v>17</v>
      </c>
      <c r="G9" s="128"/>
      <c r="H9" s="127">
        <f>'  2025 하반기'!C8</f>
        <v>171037</v>
      </c>
      <c r="I9" s="125">
        <f t="shared" si="1"/>
        <v>53876.654999999999</v>
      </c>
      <c r="J9" s="127"/>
      <c r="K9" s="121">
        <f t="shared" si="2"/>
        <v>53876.654999999999</v>
      </c>
    </row>
    <row r="10" spans="1:16" s="13" customFormat="1" ht="19.5" customHeight="1" x14ac:dyDescent="0.3">
      <c r="A10" s="236" t="s">
        <v>49</v>
      </c>
      <c r="B10" s="236"/>
      <c r="C10" s="125"/>
      <c r="D10" s="126" t="s">
        <v>3</v>
      </c>
      <c r="E10" s="135">
        <f>0.34*E4*2</f>
        <v>0.51</v>
      </c>
      <c r="F10" s="127"/>
      <c r="G10" s="128"/>
      <c r="H10" s="127">
        <f>'  2025 하반기'!C23</f>
        <v>258362</v>
      </c>
      <c r="I10" s="125">
        <f>H10*E10</f>
        <v>131764.62</v>
      </c>
      <c r="J10" s="127"/>
      <c r="K10" s="121">
        <f t="shared" si="2"/>
        <v>131764.62</v>
      </c>
    </row>
    <row r="11" spans="1:16" s="13" customFormat="1" ht="19.5" customHeight="1" x14ac:dyDescent="0.3">
      <c r="A11" s="231" t="s">
        <v>733</v>
      </c>
      <c r="B11" s="231"/>
      <c r="C11" s="125"/>
      <c r="D11" s="126"/>
      <c r="E11" s="135"/>
      <c r="F11" s="127"/>
      <c r="G11" s="128">
        <f>SUM(G5:G10)</f>
        <v>77100</v>
      </c>
      <c r="H11" s="128" t="s">
        <v>17</v>
      </c>
      <c r="I11" s="128">
        <f t="shared" ref="I11" si="3">SUM(I5:I10)</f>
        <v>315809.08499999996</v>
      </c>
      <c r="J11" s="128"/>
      <c r="K11" s="121">
        <f t="shared" si="2"/>
        <v>392909.08499999996</v>
      </c>
    </row>
    <row r="12" spans="1:16" x14ac:dyDescent="0.3">
      <c r="A12" s="235"/>
      <c r="B12" s="235"/>
      <c r="C12" s="117"/>
      <c r="D12" s="118"/>
      <c r="E12" s="119"/>
      <c r="F12" s="120"/>
      <c r="G12" s="121"/>
      <c r="H12" s="120"/>
      <c r="I12" s="121"/>
      <c r="J12" s="120"/>
      <c r="K12" s="121"/>
    </row>
    <row r="13" spans="1:16" x14ac:dyDescent="0.3">
      <c r="A13" s="235"/>
      <c r="B13" s="235"/>
      <c r="C13" s="123"/>
      <c r="D13" s="124"/>
      <c r="E13" s="119"/>
      <c r="F13" s="120"/>
      <c r="G13" s="121"/>
      <c r="H13" s="120"/>
      <c r="I13" s="121"/>
      <c r="J13" s="120"/>
      <c r="K13" s="121"/>
    </row>
    <row r="14" spans="1:16" s="13" customFormat="1" ht="19.5" customHeight="1" x14ac:dyDescent="0.3">
      <c r="A14" s="235"/>
      <c r="B14" s="235"/>
      <c r="C14" s="123"/>
      <c r="D14" s="124"/>
      <c r="E14" s="119"/>
      <c r="F14" s="120"/>
      <c r="G14" s="121"/>
      <c r="H14" s="120"/>
      <c r="I14" s="121"/>
      <c r="J14" s="120"/>
      <c r="K14" s="121"/>
    </row>
    <row r="15" spans="1:16" s="13" customFormat="1" ht="21" customHeight="1" x14ac:dyDescent="0.3">
      <c r="A15" s="231"/>
      <c r="B15" s="231"/>
      <c r="C15" s="125"/>
      <c r="D15" s="126"/>
      <c r="E15" s="119"/>
      <c r="F15" s="127"/>
      <c r="G15" s="121"/>
      <c r="H15" s="127"/>
      <c r="I15" s="128"/>
      <c r="J15" s="127"/>
      <c r="K15" s="128"/>
    </row>
    <row r="16" spans="1:16" s="114" customFormat="1" ht="19.5" customHeight="1" x14ac:dyDescent="0.3">
      <c r="A16" s="259"/>
      <c r="B16" s="260"/>
      <c r="C16" s="261"/>
      <c r="D16" s="12"/>
      <c r="E16" s="9"/>
      <c r="F16" s="11"/>
      <c r="G16" s="10"/>
      <c r="H16" s="11"/>
      <c r="I16" s="10"/>
      <c r="J16" s="11"/>
      <c r="K16" s="10"/>
    </row>
    <row r="17" spans="1:16" x14ac:dyDescent="0.3">
      <c r="A17" s="251"/>
      <c r="B17" s="251"/>
      <c r="C17" s="7"/>
      <c r="D17" s="56"/>
      <c r="E17" s="54"/>
      <c r="F17" s="8"/>
      <c r="G17" s="7"/>
      <c r="H17" s="7"/>
      <c r="I17" s="7"/>
      <c r="J17" s="7"/>
      <c r="K17" s="7"/>
    </row>
    <row r="18" spans="1:16" s="70" customFormat="1" ht="19.5" customHeight="1" x14ac:dyDescent="0.3">
      <c r="A18" s="211"/>
      <c r="B18" s="212"/>
      <c r="C18" s="66"/>
      <c r="D18" s="67"/>
      <c r="E18" s="93"/>
      <c r="F18" s="71"/>
      <c r="G18" s="69"/>
      <c r="H18" s="71"/>
      <c r="I18" s="69"/>
      <c r="J18" s="71"/>
      <c r="K18" s="69"/>
    </row>
    <row r="19" spans="1:16" s="79" customFormat="1" ht="19.5" customHeight="1" x14ac:dyDescent="0.3">
      <c r="A19" s="213"/>
      <c r="B19" s="214"/>
      <c r="C19" s="72"/>
      <c r="D19" s="67"/>
      <c r="E19" s="94"/>
      <c r="F19" s="74"/>
      <c r="G19" s="75"/>
      <c r="H19" s="76"/>
      <c r="I19" s="77"/>
      <c r="J19" s="76"/>
      <c r="K19" s="77"/>
    </row>
    <row r="20" spans="1:16" s="79" customFormat="1" ht="21" customHeight="1" x14ac:dyDescent="0.3">
      <c r="A20" s="211"/>
      <c r="B20" s="212"/>
      <c r="C20" s="66"/>
      <c r="D20" s="67"/>
      <c r="E20" s="93"/>
      <c r="F20" s="80"/>
      <c r="G20" s="69"/>
      <c r="H20" s="71"/>
      <c r="I20" s="69"/>
      <c r="J20" s="71"/>
      <c r="K20" s="77"/>
      <c r="P20" s="81"/>
    </row>
    <row r="21" spans="1:16" s="79" customFormat="1" ht="21" customHeight="1" x14ac:dyDescent="0.3">
      <c r="A21" s="211"/>
      <c r="B21" s="212"/>
      <c r="C21" s="66"/>
      <c r="D21" s="67"/>
      <c r="E21" s="93"/>
      <c r="F21" s="80"/>
      <c r="G21" s="69"/>
      <c r="H21" s="71"/>
      <c r="I21" s="69"/>
      <c r="J21" s="71"/>
      <c r="K21" s="77"/>
      <c r="P21" s="81"/>
    </row>
    <row r="22" spans="1:16" s="79" customFormat="1" ht="19.5" customHeight="1" x14ac:dyDescent="0.3">
      <c r="A22" s="213"/>
      <c r="B22" s="214"/>
      <c r="C22" s="72"/>
      <c r="D22" s="82"/>
      <c r="E22" s="94"/>
      <c r="F22" s="74"/>
      <c r="G22" s="75"/>
      <c r="H22" s="76"/>
      <c r="I22" s="77"/>
      <c r="J22" s="76"/>
      <c r="K22" s="77"/>
    </row>
    <row r="23" spans="1:16" s="79" customFormat="1" ht="19.5" customHeight="1" x14ac:dyDescent="0.3">
      <c r="A23" s="209"/>
      <c r="B23" s="209"/>
      <c r="C23" s="77"/>
      <c r="D23" s="84"/>
      <c r="E23" s="95"/>
      <c r="F23" s="76"/>
      <c r="G23" s="75"/>
      <c r="H23" s="76"/>
      <c r="I23" s="77"/>
      <c r="J23" s="76"/>
      <c r="K23" s="77"/>
    </row>
    <row r="24" spans="1:16" s="79" customFormat="1" ht="19.5" customHeight="1" x14ac:dyDescent="0.3">
      <c r="A24" s="209"/>
      <c r="B24" s="209"/>
      <c r="C24" s="77"/>
      <c r="D24" s="84"/>
      <c r="E24" s="95"/>
      <c r="F24" s="76"/>
      <c r="G24" s="75"/>
      <c r="H24" s="76"/>
      <c r="I24" s="77"/>
      <c r="J24" s="76"/>
      <c r="K24" s="77"/>
    </row>
    <row r="25" spans="1:16" s="79" customFormat="1" ht="21" customHeight="1" x14ac:dyDescent="0.3">
      <c r="A25" s="210"/>
      <c r="B25" s="210"/>
      <c r="C25" s="77"/>
      <c r="D25" s="86"/>
      <c r="E25" s="95"/>
      <c r="F25" s="76"/>
      <c r="G25" s="77"/>
      <c r="H25" s="77"/>
      <c r="I25" s="77"/>
      <c r="J25" s="77"/>
      <c r="K25" s="77"/>
      <c r="P25" s="81"/>
    </row>
    <row r="26" spans="1:16" x14ac:dyDescent="0.3">
      <c r="A26" s="231" t="s">
        <v>12</v>
      </c>
      <c r="B26" s="231"/>
      <c r="C26" s="125"/>
      <c r="D26" s="126"/>
      <c r="E26" s="135"/>
      <c r="F26" s="127"/>
      <c r="G26" s="128">
        <f>G11</f>
        <v>77100</v>
      </c>
      <c r="H26" s="128"/>
      <c r="I26" s="128">
        <f>I11</f>
        <v>315809.08499999996</v>
      </c>
      <c r="J26" s="128" t="s">
        <v>17</v>
      </c>
      <c r="K26" s="128">
        <f>G26+I26</f>
        <v>392909.08499999996</v>
      </c>
    </row>
  </sheetData>
  <mergeCells count="31">
    <mergeCell ref="F1:I1"/>
    <mergeCell ref="A2:B3"/>
    <mergeCell ref="C2:C3"/>
    <mergeCell ref="D2:D3"/>
    <mergeCell ref="E2:E3"/>
    <mergeCell ref="F2:G2"/>
    <mergeCell ref="H2:I2"/>
    <mergeCell ref="A9:B9"/>
    <mergeCell ref="J2:K2"/>
    <mergeCell ref="A12:B12"/>
    <mergeCell ref="A13:B13"/>
    <mergeCell ref="A14:B14"/>
    <mergeCell ref="A4:B4"/>
    <mergeCell ref="A5:B5"/>
    <mergeCell ref="A6:B6"/>
    <mergeCell ref="A7:B7"/>
    <mergeCell ref="A8:B8"/>
    <mergeCell ref="A26:B26"/>
    <mergeCell ref="A10:B10"/>
    <mergeCell ref="A11:B11"/>
    <mergeCell ref="A17:B17"/>
    <mergeCell ref="A18:B18"/>
    <mergeCell ref="A19:B19"/>
    <mergeCell ref="A20:B20"/>
    <mergeCell ref="A15:B15"/>
    <mergeCell ref="A16:C16"/>
    <mergeCell ref="A21:B21"/>
    <mergeCell ref="A22:B22"/>
    <mergeCell ref="A23:B23"/>
    <mergeCell ref="A24:B24"/>
    <mergeCell ref="A25:B25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6AD5-E378-4EF9-BD44-89EBC0D90B65}">
  <dimension ref="A1:AB44"/>
  <sheetViews>
    <sheetView zoomScale="85" zoomScaleNormal="85" zoomScaleSheetLayoutView="75" workbookViewId="0">
      <selection activeCell="J23" sqref="J23"/>
    </sheetView>
  </sheetViews>
  <sheetFormatPr defaultColWidth="10" defaultRowHeight="24.75" customHeight="1" x14ac:dyDescent="0.3"/>
  <cols>
    <col min="1" max="1" width="9.5" style="19" customWidth="1"/>
    <col min="2" max="2" width="23.75" style="18" customWidth="1"/>
    <col min="3" max="3" width="13.75" style="18" customWidth="1"/>
    <col min="4" max="4" width="70.75" style="18" customWidth="1"/>
    <col min="5" max="252" width="10" style="18"/>
    <col min="253" max="253" width="7.5" style="18" customWidth="1"/>
    <col min="254" max="254" width="17.375" style="18" customWidth="1"/>
    <col min="255" max="257" width="11" style="18" customWidth="1"/>
    <col min="258" max="258" width="50" style="18" customWidth="1"/>
    <col min="259" max="508" width="10" style="18"/>
    <col min="509" max="509" width="7.5" style="18" customWidth="1"/>
    <col min="510" max="510" width="17.375" style="18" customWidth="1"/>
    <col min="511" max="513" width="11" style="18" customWidth="1"/>
    <col min="514" max="514" width="50" style="18" customWidth="1"/>
    <col min="515" max="764" width="10" style="18"/>
    <col min="765" max="765" width="7.5" style="18" customWidth="1"/>
    <col min="766" max="766" width="17.375" style="18" customWidth="1"/>
    <col min="767" max="769" width="11" style="18" customWidth="1"/>
    <col min="770" max="770" width="50" style="18" customWidth="1"/>
    <col min="771" max="1020" width="10" style="18"/>
    <col min="1021" max="1021" width="7.5" style="18" customWidth="1"/>
    <col min="1022" max="1022" width="17.375" style="18" customWidth="1"/>
    <col min="1023" max="1025" width="11" style="18" customWidth="1"/>
    <col min="1026" max="1026" width="50" style="18" customWidth="1"/>
    <col min="1027" max="1276" width="10" style="18"/>
    <col min="1277" max="1277" width="7.5" style="18" customWidth="1"/>
    <col min="1278" max="1278" width="17.375" style="18" customWidth="1"/>
    <col min="1279" max="1281" width="11" style="18" customWidth="1"/>
    <col min="1282" max="1282" width="50" style="18" customWidth="1"/>
    <col min="1283" max="1532" width="10" style="18"/>
    <col min="1533" max="1533" width="7.5" style="18" customWidth="1"/>
    <col min="1534" max="1534" width="17.375" style="18" customWidth="1"/>
    <col min="1535" max="1537" width="11" style="18" customWidth="1"/>
    <col min="1538" max="1538" width="50" style="18" customWidth="1"/>
    <col min="1539" max="1788" width="10" style="18"/>
    <col min="1789" max="1789" width="7.5" style="18" customWidth="1"/>
    <col min="1790" max="1790" width="17.375" style="18" customWidth="1"/>
    <col min="1791" max="1793" width="11" style="18" customWidth="1"/>
    <col min="1794" max="1794" width="50" style="18" customWidth="1"/>
    <col min="1795" max="2044" width="10" style="18"/>
    <col min="2045" max="2045" width="7.5" style="18" customWidth="1"/>
    <col min="2046" max="2046" width="17.375" style="18" customWidth="1"/>
    <col min="2047" max="2049" width="11" style="18" customWidth="1"/>
    <col min="2050" max="2050" width="50" style="18" customWidth="1"/>
    <col min="2051" max="2300" width="10" style="18"/>
    <col min="2301" max="2301" width="7.5" style="18" customWidth="1"/>
    <col min="2302" max="2302" width="17.375" style="18" customWidth="1"/>
    <col min="2303" max="2305" width="11" style="18" customWidth="1"/>
    <col min="2306" max="2306" width="50" style="18" customWidth="1"/>
    <col min="2307" max="2556" width="10" style="18"/>
    <col min="2557" max="2557" width="7.5" style="18" customWidth="1"/>
    <col min="2558" max="2558" width="17.375" style="18" customWidth="1"/>
    <col min="2559" max="2561" width="11" style="18" customWidth="1"/>
    <col min="2562" max="2562" width="50" style="18" customWidth="1"/>
    <col min="2563" max="2812" width="10" style="18"/>
    <col min="2813" max="2813" width="7.5" style="18" customWidth="1"/>
    <col min="2814" max="2814" width="17.375" style="18" customWidth="1"/>
    <col min="2815" max="2817" width="11" style="18" customWidth="1"/>
    <col min="2818" max="2818" width="50" style="18" customWidth="1"/>
    <col min="2819" max="3068" width="10" style="18"/>
    <col min="3069" max="3069" width="7.5" style="18" customWidth="1"/>
    <col min="3070" max="3070" width="17.375" style="18" customWidth="1"/>
    <col min="3071" max="3073" width="11" style="18" customWidth="1"/>
    <col min="3074" max="3074" width="50" style="18" customWidth="1"/>
    <col min="3075" max="3324" width="10" style="18"/>
    <col min="3325" max="3325" width="7.5" style="18" customWidth="1"/>
    <col min="3326" max="3326" width="17.375" style="18" customWidth="1"/>
    <col min="3327" max="3329" width="11" style="18" customWidth="1"/>
    <col min="3330" max="3330" width="50" style="18" customWidth="1"/>
    <col min="3331" max="3580" width="10" style="18"/>
    <col min="3581" max="3581" width="7.5" style="18" customWidth="1"/>
    <col min="3582" max="3582" width="17.375" style="18" customWidth="1"/>
    <col min="3583" max="3585" width="11" style="18" customWidth="1"/>
    <col min="3586" max="3586" width="50" style="18" customWidth="1"/>
    <col min="3587" max="3836" width="10" style="18"/>
    <col min="3837" max="3837" width="7.5" style="18" customWidth="1"/>
    <col min="3838" max="3838" width="17.375" style="18" customWidth="1"/>
    <col min="3839" max="3841" width="11" style="18" customWidth="1"/>
    <col min="3842" max="3842" width="50" style="18" customWidth="1"/>
    <col min="3843" max="4092" width="10" style="18"/>
    <col min="4093" max="4093" width="7.5" style="18" customWidth="1"/>
    <col min="4094" max="4094" width="17.375" style="18" customWidth="1"/>
    <col min="4095" max="4097" width="11" style="18" customWidth="1"/>
    <col min="4098" max="4098" width="50" style="18" customWidth="1"/>
    <col min="4099" max="4348" width="10" style="18"/>
    <col min="4349" max="4349" width="7.5" style="18" customWidth="1"/>
    <col min="4350" max="4350" width="17.375" style="18" customWidth="1"/>
    <col min="4351" max="4353" width="11" style="18" customWidth="1"/>
    <col min="4354" max="4354" width="50" style="18" customWidth="1"/>
    <col min="4355" max="4604" width="10" style="18"/>
    <col min="4605" max="4605" width="7.5" style="18" customWidth="1"/>
    <col min="4606" max="4606" width="17.375" style="18" customWidth="1"/>
    <col min="4607" max="4609" width="11" style="18" customWidth="1"/>
    <col min="4610" max="4610" width="50" style="18" customWidth="1"/>
    <col min="4611" max="4860" width="10" style="18"/>
    <col min="4861" max="4861" width="7.5" style="18" customWidth="1"/>
    <col min="4862" max="4862" width="17.375" style="18" customWidth="1"/>
    <col min="4863" max="4865" width="11" style="18" customWidth="1"/>
    <col min="4866" max="4866" width="50" style="18" customWidth="1"/>
    <col min="4867" max="5116" width="10" style="18"/>
    <col min="5117" max="5117" width="7.5" style="18" customWidth="1"/>
    <col min="5118" max="5118" width="17.375" style="18" customWidth="1"/>
    <col min="5119" max="5121" width="11" style="18" customWidth="1"/>
    <col min="5122" max="5122" width="50" style="18" customWidth="1"/>
    <col min="5123" max="5372" width="10" style="18"/>
    <col min="5373" max="5373" width="7.5" style="18" customWidth="1"/>
    <col min="5374" max="5374" width="17.375" style="18" customWidth="1"/>
    <col min="5375" max="5377" width="11" style="18" customWidth="1"/>
    <col min="5378" max="5378" width="50" style="18" customWidth="1"/>
    <col min="5379" max="5628" width="10" style="18"/>
    <col min="5629" max="5629" width="7.5" style="18" customWidth="1"/>
    <col min="5630" max="5630" width="17.375" style="18" customWidth="1"/>
    <col min="5631" max="5633" width="11" style="18" customWidth="1"/>
    <col min="5634" max="5634" width="50" style="18" customWidth="1"/>
    <col min="5635" max="5884" width="10" style="18"/>
    <col min="5885" max="5885" width="7.5" style="18" customWidth="1"/>
    <col min="5886" max="5886" width="17.375" style="18" customWidth="1"/>
    <col min="5887" max="5889" width="11" style="18" customWidth="1"/>
    <col min="5890" max="5890" width="50" style="18" customWidth="1"/>
    <col min="5891" max="6140" width="10" style="18"/>
    <col min="6141" max="6141" width="7.5" style="18" customWidth="1"/>
    <col min="6142" max="6142" width="17.375" style="18" customWidth="1"/>
    <col min="6143" max="6145" width="11" style="18" customWidth="1"/>
    <col min="6146" max="6146" width="50" style="18" customWidth="1"/>
    <col min="6147" max="6396" width="10" style="18"/>
    <col min="6397" max="6397" width="7.5" style="18" customWidth="1"/>
    <col min="6398" max="6398" width="17.375" style="18" customWidth="1"/>
    <col min="6399" max="6401" width="11" style="18" customWidth="1"/>
    <col min="6402" max="6402" width="50" style="18" customWidth="1"/>
    <col min="6403" max="6652" width="10" style="18"/>
    <col min="6653" max="6653" width="7.5" style="18" customWidth="1"/>
    <col min="6654" max="6654" width="17.375" style="18" customWidth="1"/>
    <col min="6655" max="6657" width="11" style="18" customWidth="1"/>
    <col min="6658" max="6658" width="50" style="18" customWidth="1"/>
    <col min="6659" max="6908" width="10" style="18"/>
    <col min="6909" max="6909" width="7.5" style="18" customWidth="1"/>
    <col min="6910" max="6910" width="17.375" style="18" customWidth="1"/>
    <col min="6911" max="6913" width="11" style="18" customWidth="1"/>
    <col min="6914" max="6914" width="50" style="18" customWidth="1"/>
    <col min="6915" max="7164" width="10" style="18"/>
    <col min="7165" max="7165" width="7.5" style="18" customWidth="1"/>
    <col min="7166" max="7166" width="17.375" style="18" customWidth="1"/>
    <col min="7167" max="7169" width="11" style="18" customWidth="1"/>
    <col min="7170" max="7170" width="50" style="18" customWidth="1"/>
    <col min="7171" max="7420" width="10" style="18"/>
    <col min="7421" max="7421" width="7.5" style="18" customWidth="1"/>
    <col min="7422" max="7422" width="17.375" style="18" customWidth="1"/>
    <col min="7423" max="7425" width="11" style="18" customWidth="1"/>
    <col min="7426" max="7426" width="50" style="18" customWidth="1"/>
    <col min="7427" max="7676" width="10" style="18"/>
    <col min="7677" max="7677" width="7.5" style="18" customWidth="1"/>
    <col min="7678" max="7678" width="17.375" style="18" customWidth="1"/>
    <col min="7679" max="7681" width="11" style="18" customWidth="1"/>
    <col min="7682" max="7682" width="50" style="18" customWidth="1"/>
    <col min="7683" max="7932" width="10" style="18"/>
    <col min="7933" max="7933" width="7.5" style="18" customWidth="1"/>
    <col min="7934" max="7934" width="17.375" style="18" customWidth="1"/>
    <col min="7935" max="7937" width="11" style="18" customWidth="1"/>
    <col min="7938" max="7938" width="50" style="18" customWidth="1"/>
    <col min="7939" max="8188" width="10" style="18"/>
    <col min="8189" max="8189" width="7.5" style="18" customWidth="1"/>
    <col min="8190" max="8190" width="17.375" style="18" customWidth="1"/>
    <col min="8191" max="8193" width="11" style="18" customWidth="1"/>
    <col min="8194" max="8194" width="50" style="18" customWidth="1"/>
    <col min="8195" max="8444" width="10" style="18"/>
    <col min="8445" max="8445" width="7.5" style="18" customWidth="1"/>
    <col min="8446" max="8446" width="17.375" style="18" customWidth="1"/>
    <col min="8447" max="8449" width="11" style="18" customWidth="1"/>
    <col min="8450" max="8450" width="50" style="18" customWidth="1"/>
    <col min="8451" max="8700" width="10" style="18"/>
    <col min="8701" max="8701" width="7.5" style="18" customWidth="1"/>
    <col min="8702" max="8702" width="17.375" style="18" customWidth="1"/>
    <col min="8703" max="8705" width="11" style="18" customWidth="1"/>
    <col min="8706" max="8706" width="50" style="18" customWidth="1"/>
    <col min="8707" max="8956" width="10" style="18"/>
    <col min="8957" max="8957" width="7.5" style="18" customWidth="1"/>
    <col min="8958" max="8958" width="17.375" style="18" customWidth="1"/>
    <col min="8959" max="8961" width="11" style="18" customWidth="1"/>
    <col min="8962" max="8962" width="50" style="18" customWidth="1"/>
    <col min="8963" max="9212" width="10" style="18"/>
    <col min="9213" max="9213" width="7.5" style="18" customWidth="1"/>
    <col min="9214" max="9214" width="17.375" style="18" customWidth="1"/>
    <col min="9215" max="9217" width="11" style="18" customWidth="1"/>
    <col min="9218" max="9218" width="50" style="18" customWidth="1"/>
    <col min="9219" max="9468" width="10" style="18"/>
    <col min="9469" max="9469" width="7.5" style="18" customWidth="1"/>
    <col min="9470" max="9470" width="17.375" style="18" customWidth="1"/>
    <col min="9471" max="9473" width="11" style="18" customWidth="1"/>
    <col min="9474" max="9474" width="50" style="18" customWidth="1"/>
    <col min="9475" max="9724" width="10" style="18"/>
    <col min="9725" max="9725" width="7.5" style="18" customWidth="1"/>
    <col min="9726" max="9726" width="17.375" style="18" customWidth="1"/>
    <col min="9727" max="9729" width="11" style="18" customWidth="1"/>
    <col min="9730" max="9730" width="50" style="18" customWidth="1"/>
    <col min="9731" max="9980" width="10" style="18"/>
    <col min="9981" max="9981" width="7.5" style="18" customWidth="1"/>
    <col min="9982" max="9982" width="17.375" style="18" customWidth="1"/>
    <col min="9983" max="9985" width="11" style="18" customWidth="1"/>
    <col min="9986" max="9986" width="50" style="18" customWidth="1"/>
    <col min="9987" max="10236" width="10" style="18"/>
    <col min="10237" max="10237" width="7.5" style="18" customWidth="1"/>
    <col min="10238" max="10238" width="17.375" style="18" customWidth="1"/>
    <col min="10239" max="10241" width="11" style="18" customWidth="1"/>
    <col min="10242" max="10242" width="50" style="18" customWidth="1"/>
    <col min="10243" max="10492" width="10" style="18"/>
    <col min="10493" max="10493" width="7.5" style="18" customWidth="1"/>
    <col min="10494" max="10494" width="17.375" style="18" customWidth="1"/>
    <col min="10495" max="10497" width="11" style="18" customWidth="1"/>
    <col min="10498" max="10498" width="50" style="18" customWidth="1"/>
    <col min="10499" max="10748" width="10" style="18"/>
    <col min="10749" max="10749" width="7.5" style="18" customWidth="1"/>
    <col min="10750" max="10750" width="17.375" style="18" customWidth="1"/>
    <col min="10751" max="10753" width="11" style="18" customWidth="1"/>
    <col min="10754" max="10754" width="50" style="18" customWidth="1"/>
    <col min="10755" max="11004" width="10" style="18"/>
    <col min="11005" max="11005" width="7.5" style="18" customWidth="1"/>
    <col min="11006" max="11006" width="17.375" style="18" customWidth="1"/>
    <col min="11007" max="11009" width="11" style="18" customWidth="1"/>
    <col min="11010" max="11010" width="50" style="18" customWidth="1"/>
    <col min="11011" max="11260" width="10" style="18"/>
    <col min="11261" max="11261" width="7.5" style="18" customWidth="1"/>
    <col min="11262" max="11262" width="17.375" style="18" customWidth="1"/>
    <col min="11263" max="11265" width="11" style="18" customWidth="1"/>
    <col min="11266" max="11266" width="50" style="18" customWidth="1"/>
    <col min="11267" max="11516" width="10" style="18"/>
    <col min="11517" max="11517" width="7.5" style="18" customWidth="1"/>
    <col min="11518" max="11518" width="17.375" style="18" customWidth="1"/>
    <col min="11519" max="11521" width="11" style="18" customWidth="1"/>
    <col min="11522" max="11522" width="50" style="18" customWidth="1"/>
    <col min="11523" max="11772" width="10" style="18"/>
    <col min="11773" max="11773" width="7.5" style="18" customWidth="1"/>
    <col min="11774" max="11774" width="17.375" style="18" customWidth="1"/>
    <col min="11775" max="11777" width="11" style="18" customWidth="1"/>
    <col min="11778" max="11778" width="50" style="18" customWidth="1"/>
    <col min="11779" max="12028" width="10" style="18"/>
    <col min="12029" max="12029" width="7.5" style="18" customWidth="1"/>
    <col min="12030" max="12030" width="17.375" style="18" customWidth="1"/>
    <col min="12031" max="12033" width="11" style="18" customWidth="1"/>
    <col min="12034" max="12034" width="50" style="18" customWidth="1"/>
    <col min="12035" max="12284" width="10" style="18"/>
    <col min="12285" max="12285" width="7.5" style="18" customWidth="1"/>
    <col min="12286" max="12286" width="17.375" style="18" customWidth="1"/>
    <col min="12287" max="12289" width="11" style="18" customWidth="1"/>
    <col min="12290" max="12290" width="50" style="18" customWidth="1"/>
    <col min="12291" max="12540" width="10" style="18"/>
    <col min="12541" max="12541" width="7.5" style="18" customWidth="1"/>
    <col min="12542" max="12542" width="17.375" style="18" customWidth="1"/>
    <col min="12543" max="12545" width="11" style="18" customWidth="1"/>
    <col min="12546" max="12546" width="50" style="18" customWidth="1"/>
    <col min="12547" max="12796" width="10" style="18"/>
    <col min="12797" max="12797" width="7.5" style="18" customWidth="1"/>
    <col min="12798" max="12798" width="17.375" style="18" customWidth="1"/>
    <col min="12799" max="12801" width="11" style="18" customWidth="1"/>
    <col min="12802" max="12802" width="50" style="18" customWidth="1"/>
    <col min="12803" max="13052" width="10" style="18"/>
    <col min="13053" max="13053" width="7.5" style="18" customWidth="1"/>
    <col min="13054" max="13054" width="17.375" style="18" customWidth="1"/>
    <col min="13055" max="13057" width="11" style="18" customWidth="1"/>
    <col min="13058" max="13058" width="50" style="18" customWidth="1"/>
    <col min="13059" max="13308" width="10" style="18"/>
    <col min="13309" max="13309" width="7.5" style="18" customWidth="1"/>
    <col min="13310" max="13310" width="17.375" style="18" customWidth="1"/>
    <col min="13311" max="13313" width="11" style="18" customWidth="1"/>
    <col min="13314" max="13314" width="50" style="18" customWidth="1"/>
    <col min="13315" max="13564" width="10" style="18"/>
    <col min="13565" max="13565" width="7.5" style="18" customWidth="1"/>
    <col min="13566" max="13566" width="17.375" style="18" customWidth="1"/>
    <col min="13567" max="13569" width="11" style="18" customWidth="1"/>
    <col min="13570" max="13570" width="50" style="18" customWidth="1"/>
    <col min="13571" max="13820" width="10" style="18"/>
    <col min="13821" max="13821" width="7.5" style="18" customWidth="1"/>
    <col min="13822" max="13822" width="17.375" style="18" customWidth="1"/>
    <col min="13823" max="13825" width="11" style="18" customWidth="1"/>
    <col min="13826" max="13826" width="50" style="18" customWidth="1"/>
    <col min="13827" max="14076" width="10" style="18"/>
    <col min="14077" max="14077" width="7.5" style="18" customWidth="1"/>
    <col min="14078" max="14078" width="17.375" style="18" customWidth="1"/>
    <col min="14079" max="14081" width="11" style="18" customWidth="1"/>
    <col min="14082" max="14082" width="50" style="18" customWidth="1"/>
    <col min="14083" max="14332" width="10" style="18"/>
    <col min="14333" max="14333" width="7.5" style="18" customWidth="1"/>
    <col min="14334" max="14334" width="17.375" style="18" customWidth="1"/>
    <col min="14335" max="14337" width="11" style="18" customWidth="1"/>
    <col min="14338" max="14338" width="50" style="18" customWidth="1"/>
    <col min="14339" max="14588" width="10" style="18"/>
    <col min="14589" max="14589" width="7.5" style="18" customWidth="1"/>
    <col min="14590" max="14590" width="17.375" style="18" customWidth="1"/>
    <col min="14591" max="14593" width="11" style="18" customWidth="1"/>
    <col min="14594" max="14594" width="50" style="18" customWidth="1"/>
    <col min="14595" max="14844" width="10" style="18"/>
    <col min="14845" max="14845" width="7.5" style="18" customWidth="1"/>
    <col min="14846" max="14846" width="17.375" style="18" customWidth="1"/>
    <col min="14847" max="14849" width="11" style="18" customWidth="1"/>
    <col min="14850" max="14850" width="50" style="18" customWidth="1"/>
    <col min="14851" max="15100" width="10" style="18"/>
    <col min="15101" max="15101" width="7.5" style="18" customWidth="1"/>
    <col min="15102" max="15102" width="17.375" style="18" customWidth="1"/>
    <col min="15103" max="15105" width="11" style="18" customWidth="1"/>
    <col min="15106" max="15106" width="50" style="18" customWidth="1"/>
    <col min="15107" max="15356" width="10" style="18"/>
    <col min="15357" max="15357" width="7.5" style="18" customWidth="1"/>
    <col min="15358" max="15358" width="17.375" style="18" customWidth="1"/>
    <col min="15359" max="15361" width="11" style="18" customWidth="1"/>
    <col min="15362" max="15362" width="50" style="18" customWidth="1"/>
    <col min="15363" max="15612" width="10" style="18"/>
    <col min="15613" max="15613" width="7.5" style="18" customWidth="1"/>
    <col min="15614" max="15614" width="17.375" style="18" customWidth="1"/>
    <col min="15615" max="15617" width="11" style="18" customWidth="1"/>
    <col min="15618" max="15618" width="50" style="18" customWidth="1"/>
    <col min="15619" max="15868" width="10" style="18"/>
    <col min="15869" max="15869" width="7.5" style="18" customWidth="1"/>
    <col min="15870" max="15870" width="17.375" style="18" customWidth="1"/>
    <col min="15871" max="15873" width="11" style="18" customWidth="1"/>
    <col min="15874" max="15874" width="50" style="18" customWidth="1"/>
    <col min="15875" max="16124" width="10" style="18"/>
    <col min="16125" max="16125" width="7.5" style="18" customWidth="1"/>
    <col min="16126" max="16126" width="17.375" style="18" customWidth="1"/>
    <col min="16127" max="16129" width="11" style="18" customWidth="1"/>
    <col min="16130" max="16130" width="50" style="18" customWidth="1"/>
    <col min="16131" max="16384" width="10" style="18"/>
  </cols>
  <sheetData>
    <row r="1" spans="1:9" ht="26.25" customHeight="1" x14ac:dyDescent="0.3">
      <c r="A1" s="262" t="s">
        <v>714</v>
      </c>
      <c r="B1" s="263"/>
      <c r="C1" s="263"/>
      <c r="D1" s="263"/>
    </row>
    <row r="2" spans="1:9" ht="15" customHeight="1" x14ac:dyDescent="0.3"/>
    <row r="3" spans="1:9" ht="26.25" customHeight="1" x14ac:dyDescent="0.3">
      <c r="A3" s="264" t="s">
        <v>713</v>
      </c>
      <c r="B3" s="265"/>
      <c r="C3" s="265"/>
      <c r="D3" s="265"/>
    </row>
    <row r="4" spans="1:9" ht="11.25" customHeight="1" x14ac:dyDescent="0.3"/>
    <row r="5" spans="1:9" ht="21" hidden="1" customHeight="1" x14ac:dyDescent="0.3">
      <c r="B5" s="20" t="s">
        <v>20</v>
      </c>
      <c r="C5" s="20" t="s">
        <v>21</v>
      </c>
    </row>
    <row r="6" spans="1:9" ht="26.25" customHeight="1" x14ac:dyDescent="0.3">
      <c r="A6" s="21" t="s">
        <v>22</v>
      </c>
      <c r="B6" s="22" t="s">
        <v>23</v>
      </c>
      <c r="C6" s="22" t="s">
        <v>712</v>
      </c>
      <c r="D6" s="23" t="s">
        <v>13</v>
      </c>
    </row>
    <row r="7" spans="1:9" ht="26.25" customHeight="1" x14ac:dyDescent="0.3">
      <c r="A7" s="39">
        <v>1001</v>
      </c>
      <c r="B7" s="40" t="s">
        <v>24</v>
      </c>
      <c r="C7" s="41">
        <v>214661</v>
      </c>
      <c r="D7" s="24" t="s">
        <v>25</v>
      </c>
      <c r="F7" s="25"/>
      <c r="G7" s="25"/>
      <c r="H7" s="25"/>
      <c r="I7" s="25"/>
    </row>
    <row r="8" spans="1:9" ht="26.25" customHeight="1" x14ac:dyDescent="0.3">
      <c r="A8" s="42">
        <v>1002</v>
      </c>
      <c r="B8" s="43" t="s">
        <v>4</v>
      </c>
      <c r="C8" s="44">
        <v>171037</v>
      </c>
      <c r="D8" s="26" t="s">
        <v>26</v>
      </c>
      <c r="F8" s="25"/>
      <c r="G8" s="25"/>
      <c r="H8" s="25"/>
      <c r="I8" s="25"/>
    </row>
    <row r="9" spans="1:9" ht="26.25" customHeight="1" x14ac:dyDescent="0.3">
      <c r="A9" s="42">
        <v>1003</v>
      </c>
      <c r="B9" s="43" t="s">
        <v>27</v>
      </c>
      <c r="C9" s="44">
        <v>224490</v>
      </c>
      <c r="D9" s="26" t="s">
        <v>28</v>
      </c>
      <c r="F9" s="25"/>
      <c r="G9" s="25"/>
      <c r="H9" s="25"/>
      <c r="I9" s="25"/>
    </row>
    <row r="10" spans="1:9" ht="26.25" customHeight="1" x14ac:dyDescent="0.3">
      <c r="A10" s="42">
        <v>1004</v>
      </c>
      <c r="B10" s="43" t="s">
        <v>29</v>
      </c>
      <c r="C10" s="44">
        <v>179958</v>
      </c>
      <c r="D10" s="26" t="s">
        <v>30</v>
      </c>
      <c r="F10" s="25"/>
      <c r="G10" s="25"/>
      <c r="H10" s="25"/>
      <c r="I10" s="25"/>
    </row>
    <row r="11" spans="1:9" ht="26.25" customHeight="1" x14ac:dyDescent="0.3">
      <c r="A11" s="42" t="s">
        <v>31</v>
      </c>
      <c r="B11" s="43" t="s">
        <v>32</v>
      </c>
      <c r="C11" s="44">
        <v>239200</v>
      </c>
      <c r="D11" s="26"/>
      <c r="F11" s="25"/>
      <c r="G11" s="25"/>
      <c r="H11" s="25"/>
      <c r="I11" s="25"/>
    </row>
    <row r="12" spans="1:9" ht="26.25" customHeight="1" x14ac:dyDescent="0.3">
      <c r="A12" s="42">
        <v>1006</v>
      </c>
      <c r="B12" s="43" t="s">
        <v>33</v>
      </c>
      <c r="C12" s="44">
        <v>279613</v>
      </c>
      <c r="D12" s="26" t="s">
        <v>34</v>
      </c>
      <c r="F12" s="25"/>
      <c r="G12" s="25"/>
      <c r="H12" s="25"/>
      <c r="I12" s="25"/>
    </row>
    <row r="13" spans="1:9" s="148" customFormat="1" ht="26.25" customHeight="1" x14ac:dyDescent="0.3">
      <c r="A13" s="144">
        <v>1009</v>
      </c>
      <c r="B13" s="145" t="s">
        <v>167</v>
      </c>
      <c r="C13" s="146">
        <v>237754</v>
      </c>
      <c r="D13" s="147" t="s">
        <v>766</v>
      </c>
      <c r="F13" s="149"/>
      <c r="G13" s="149"/>
      <c r="H13" s="149"/>
      <c r="I13" s="149"/>
    </row>
    <row r="14" spans="1:9" ht="26.25" customHeight="1" x14ac:dyDescent="0.3">
      <c r="A14" s="42">
        <v>1012</v>
      </c>
      <c r="B14" s="43" t="s">
        <v>35</v>
      </c>
      <c r="C14" s="44">
        <v>280178</v>
      </c>
      <c r="D14" s="27" t="s">
        <v>36</v>
      </c>
      <c r="F14" s="25"/>
      <c r="G14" s="25"/>
      <c r="H14" s="25"/>
      <c r="I14" s="25"/>
    </row>
    <row r="15" spans="1:9" ht="26.25" customHeight="1" x14ac:dyDescent="0.3">
      <c r="A15" s="42">
        <v>1021</v>
      </c>
      <c r="B15" s="43" t="s">
        <v>2</v>
      </c>
      <c r="C15" s="44">
        <v>275141</v>
      </c>
      <c r="D15" s="26" t="s">
        <v>37</v>
      </c>
      <c r="F15" s="25"/>
      <c r="G15" s="25"/>
      <c r="H15" s="25"/>
      <c r="I15" s="25"/>
    </row>
    <row r="16" spans="1:9" ht="26.25" customHeight="1" x14ac:dyDescent="0.3">
      <c r="A16" s="42">
        <v>1022</v>
      </c>
      <c r="B16" s="43" t="s">
        <v>38</v>
      </c>
      <c r="C16" s="44">
        <v>247938</v>
      </c>
      <c r="D16" s="26"/>
      <c r="F16" s="25"/>
      <c r="G16" s="25"/>
      <c r="H16" s="25"/>
      <c r="I16" s="25"/>
    </row>
    <row r="17" spans="1:9" ht="26.25" customHeight="1" x14ac:dyDescent="0.3">
      <c r="A17" s="42">
        <v>1023</v>
      </c>
      <c r="B17" s="43" t="s">
        <v>39</v>
      </c>
      <c r="C17" s="44">
        <v>283068</v>
      </c>
      <c r="D17" s="26"/>
      <c r="F17" s="25"/>
      <c r="G17" s="25"/>
      <c r="H17" s="25"/>
      <c r="I17" s="25"/>
    </row>
    <row r="18" spans="1:9" ht="26.25" customHeight="1" x14ac:dyDescent="0.3">
      <c r="A18" s="42">
        <v>1024</v>
      </c>
      <c r="B18" s="43" t="s">
        <v>40</v>
      </c>
      <c r="C18" s="44">
        <v>250287</v>
      </c>
      <c r="D18" s="26" t="s">
        <v>41</v>
      </c>
      <c r="F18" s="25"/>
      <c r="G18" s="25"/>
      <c r="H18" s="25"/>
      <c r="I18" s="25"/>
    </row>
    <row r="19" spans="1:9" ht="26.25" customHeight="1" x14ac:dyDescent="0.3">
      <c r="A19" s="42">
        <v>1025</v>
      </c>
      <c r="B19" s="43" t="s">
        <v>42</v>
      </c>
      <c r="C19" s="44">
        <v>250389</v>
      </c>
      <c r="D19" s="26"/>
      <c r="F19" s="25"/>
      <c r="G19" s="25"/>
      <c r="H19" s="25"/>
      <c r="I19" s="25"/>
    </row>
    <row r="20" spans="1:9" ht="26.25" customHeight="1" x14ac:dyDescent="0.3">
      <c r="A20" s="42">
        <v>1026</v>
      </c>
      <c r="B20" s="43" t="s">
        <v>43</v>
      </c>
      <c r="C20" s="44">
        <v>226204</v>
      </c>
      <c r="D20" s="26" t="s">
        <v>44</v>
      </c>
      <c r="F20" s="25"/>
      <c r="G20" s="25"/>
      <c r="H20" s="25"/>
      <c r="I20" s="25"/>
    </row>
    <row r="21" spans="1:9" ht="26.25" customHeight="1" x14ac:dyDescent="0.3">
      <c r="A21" s="42">
        <v>1027</v>
      </c>
      <c r="B21" s="43" t="s">
        <v>45</v>
      </c>
      <c r="C21" s="44">
        <v>278998</v>
      </c>
      <c r="D21" s="26" t="s">
        <v>46</v>
      </c>
      <c r="F21" s="25"/>
      <c r="G21" s="25"/>
      <c r="H21" s="25"/>
      <c r="I21" s="25"/>
    </row>
    <row r="22" spans="1:9" ht="26.25" customHeight="1" x14ac:dyDescent="0.3">
      <c r="A22" s="42">
        <v>1028</v>
      </c>
      <c r="B22" s="43" t="s">
        <v>47</v>
      </c>
      <c r="C22" s="44">
        <v>286589</v>
      </c>
      <c r="D22" s="26" t="s">
        <v>48</v>
      </c>
      <c r="F22" s="25"/>
      <c r="G22" s="25"/>
      <c r="H22" s="25"/>
      <c r="I22" s="25"/>
    </row>
    <row r="23" spans="1:9" ht="26.25" customHeight="1" x14ac:dyDescent="0.3">
      <c r="A23" s="42">
        <v>1029</v>
      </c>
      <c r="B23" s="43" t="s">
        <v>49</v>
      </c>
      <c r="C23" s="44">
        <v>258362</v>
      </c>
      <c r="D23" s="26" t="s">
        <v>50</v>
      </c>
      <c r="F23" s="25"/>
      <c r="G23" s="25"/>
      <c r="H23" s="25"/>
      <c r="I23" s="25"/>
    </row>
    <row r="24" spans="1:9" ht="26.25" customHeight="1" x14ac:dyDescent="0.3">
      <c r="A24" s="42">
        <v>1030</v>
      </c>
      <c r="B24" s="43" t="s">
        <v>18</v>
      </c>
      <c r="C24" s="44">
        <v>255231</v>
      </c>
      <c r="D24" s="26"/>
      <c r="F24" s="25"/>
      <c r="G24" s="25"/>
      <c r="H24" s="25"/>
      <c r="I24" s="25"/>
    </row>
    <row r="25" spans="1:9" ht="26.25" customHeight="1" x14ac:dyDescent="0.3">
      <c r="A25" s="42">
        <v>1034</v>
      </c>
      <c r="B25" s="43" t="s">
        <v>51</v>
      </c>
      <c r="C25" s="44">
        <v>207796</v>
      </c>
      <c r="D25" s="26"/>
      <c r="F25" s="25"/>
      <c r="G25" s="25"/>
      <c r="H25" s="25"/>
      <c r="I25" s="25"/>
    </row>
    <row r="26" spans="1:9" ht="26.25" customHeight="1" x14ac:dyDescent="0.3">
      <c r="A26" s="42">
        <v>1035</v>
      </c>
      <c r="B26" s="43" t="s">
        <v>52</v>
      </c>
      <c r="C26" s="44">
        <v>240735</v>
      </c>
      <c r="D26" s="26"/>
      <c r="F26" s="25"/>
      <c r="G26" s="25"/>
      <c r="H26" s="25"/>
      <c r="I26" s="25"/>
    </row>
    <row r="27" spans="1:9" ht="26.25" customHeight="1" x14ac:dyDescent="0.3">
      <c r="A27" s="42">
        <v>1039</v>
      </c>
      <c r="B27" s="43" t="s">
        <v>53</v>
      </c>
      <c r="C27" s="44">
        <v>239439</v>
      </c>
      <c r="D27" s="26"/>
      <c r="F27" s="25"/>
      <c r="G27" s="25"/>
      <c r="H27" s="25"/>
      <c r="I27" s="25"/>
    </row>
    <row r="28" spans="1:9" ht="26.25" customHeight="1" x14ac:dyDescent="0.3">
      <c r="A28" s="42">
        <v>1040</v>
      </c>
      <c r="B28" s="43" t="s">
        <v>54</v>
      </c>
      <c r="C28" s="44">
        <v>257390</v>
      </c>
      <c r="D28" s="26"/>
      <c r="F28" s="25"/>
      <c r="G28" s="25"/>
      <c r="H28" s="25"/>
      <c r="I28" s="25"/>
    </row>
    <row r="29" spans="1:9" ht="26.25" customHeight="1" x14ac:dyDescent="0.3">
      <c r="A29" s="42">
        <v>1042</v>
      </c>
      <c r="B29" s="43" t="s">
        <v>55</v>
      </c>
      <c r="C29" s="44">
        <v>220650</v>
      </c>
      <c r="D29" s="26"/>
      <c r="F29" s="25"/>
      <c r="G29" s="25"/>
      <c r="H29" s="25"/>
      <c r="I29" s="25"/>
    </row>
    <row r="30" spans="1:9" ht="26.25" customHeight="1" x14ac:dyDescent="0.3">
      <c r="A30" s="42">
        <v>1043</v>
      </c>
      <c r="B30" s="43" t="s">
        <v>56</v>
      </c>
      <c r="C30" s="44">
        <v>205696</v>
      </c>
      <c r="D30" s="26" t="s">
        <v>57</v>
      </c>
      <c r="F30" s="25"/>
      <c r="G30" s="25"/>
      <c r="H30" s="25"/>
      <c r="I30" s="25"/>
    </row>
    <row r="31" spans="1:9" ht="26.25" customHeight="1" x14ac:dyDescent="0.3">
      <c r="A31" s="42">
        <v>1044</v>
      </c>
      <c r="B31" s="43" t="s">
        <v>58</v>
      </c>
      <c r="C31" s="44">
        <v>214975</v>
      </c>
      <c r="D31" s="26"/>
      <c r="F31" s="25"/>
      <c r="G31" s="25"/>
      <c r="H31" s="25"/>
      <c r="I31" s="25"/>
    </row>
    <row r="32" spans="1:9" ht="26.25" customHeight="1" x14ac:dyDescent="0.3">
      <c r="A32" s="42">
        <v>1049</v>
      </c>
      <c r="B32" s="43" t="s">
        <v>59</v>
      </c>
      <c r="C32" s="44">
        <v>237500</v>
      </c>
      <c r="D32" s="26" t="s">
        <v>60</v>
      </c>
      <c r="F32" s="25"/>
      <c r="G32" s="25"/>
      <c r="H32" s="25"/>
      <c r="I32" s="25"/>
    </row>
    <row r="33" spans="1:28" ht="26.25" customHeight="1" x14ac:dyDescent="0.3">
      <c r="A33" s="42" t="s">
        <v>61</v>
      </c>
      <c r="B33" s="43" t="s">
        <v>62</v>
      </c>
      <c r="C33" s="44">
        <v>170920</v>
      </c>
      <c r="D33" s="28" t="s">
        <v>63</v>
      </c>
      <c r="F33" s="25"/>
      <c r="G33" s="25"/>
      <c r="H33" s="25"/>
      <c r="I33" s="25"/>
    </row>
    <row r="34" spans="1:28" ht="26.25" customHeight="1" x14ac:dyDescent="0.3">
      <c r="A34" s="42">
        <v>1051</v>
      </c>
      <c r="B34" s="43" t="s">
        <v>64</v>
      </c>
      <c r="C34" s="44">
        <v>237652</v>
      </c>
      <c r="D34" s="26" t="s">
        <v>65</v>
      </c>
      <c r="F34" s="25"/>
      <c r="G34" s="25"/>
      <c r="H34" s="25"/>
      <c r="I34" s="25"/>
    </row>
    <row r="35" spans="1:28" ht="26.25" customHeight="1" x14ac:dyDescent="0.3">
      <c r="A35" s="42">
        <v>1075</v>
      </c>
      <c r="B35" s="43" t="s">
        <v>66</v>
      </c>
      <c r="C35" s="44">
        <v>268915</v>
      </c>
      <c r="D35" s="26"/>
      <c r="F35" s="25"/>
      <c r="G35" s="25"/>
      <c r="H35" s="25"/>
      <c r="I35" s="25"/>
    </row>
    <row r="36" spans="1:28" ht="26.25" customHeight="1" x14ac:dyDescent="0.3">
      <c r="A36" s="42">
        <v>1081</v>
      </c>
      <c r="B36" s="43" t="s">
        <v>67</v>
      </c>
      <c r="C36" s="44">
        <v>408559</v>
      </c>
      <c r="D36" s="26"/>
      <c r="F36" s="25"/>
      <c r="G36" s="25"/>
      <c r="H36" s="25"/>
      <c r="I36" s="25"/>
    </row>
    <row r="37" spans="1:28" ht="26.25" customHeight="1" x14ac:dyDescent="0.3">
      <c r="A37" s="42">
        <v>1086</v>
      </c>
      <c r="B37" s="43" t="s">
        <v>68</v>
      </c>
      <c r="C37" s="44">
        <v>278565</v>
      </c>
      <c r="D37" s="26"/>
      <c r="F37" s="25"/>
      <c r="G37" s="25"/>
      <c r="H37" s="25"/>
      <c r="I37" s="25"/>
    </row>
    <row r="38" spans="1:28" ht="26.25" customHeight="1" x14ac:dyDescent="0.3">
      <c r="A38" s="42">
        <v>1087</v>
      </c>
      <c r="B38" s="43" t="s">
        <v>69</v>
      </c>
      <c r="C38" s="44">
        <v>308930</v>
      </c>
      <c r="D38" s="26"/>
      <c r="F38" s="25"/>
      <c r="G38" s="25"/>
      <c r="H38" s="25"/>
      <c r="I38" s="25"/>
    </row>
    <row r="39" spans="1:28" ht="26.25" customHeight="1" x14ac:dyDescent="0.3">
      <c r="A39" s="42">
        <v>5001</v>
      </c>
      <c r="B39" s="43" t="s">
        <v>70</v>
      </c>
      <c r="C39" s="44">
        <v>316183</v>
      </c>
      <c r="D39" s="26"/>
      <c r="F39" s="25"/>
      <c r="G39" s="25"/>
      <c r="H39" s="25"/>
      <c r="I39" s="25"/>
    </row>
    <row r="40" spans="1:28" ht="26.25" customHeight="1" x14ac:dyDescent="0.3">
      <c r="A40" s="42" t="s">
        <v>71</v>
      </c>
      <c r="B40" s="43" t="s">
        <v>72</v>
      </c>
      <c r="C40" s="44">
        <v>297137</v>
      </c>
      <c r="D40" s="26"/>
      <c r="F40" s="25"/>
      <c r="G40" s="25"/>
      <c r="H40" s="25"/>
      <c r="I40" s="25"/>
    </row>
    <row r="41" spans="1:28" ht="26.25" customHeight="1" x14ac:dyDescent="0.3">
      <c r="A41" s="42">
        <v>5003</v>
      </c>
      <c r="B41" s="43" t="s">
        <v>73</v>
      </c>
      <c r="C41" s="44">
        <v>244717</v>
      </c>
      <c r="D41" s="26"/>
      <c r="F41" s="25"/>
      <c r="G41" s="25"/>
      <c r="H41" s="25"/>
      <c r="I41" s="25"/>
    </row>
    <row r="42" spans="1:28" ht="26.25" customHeight="1" x14ac:dyDescent="0.3">
      <c r="A42" s="42">
        <v>5004</v>
      </c>
      <c r="B42" s="43" t="s">
        <v>74</v>
      </c>
      <c r="C42" s="44">
        <v>327381</v>
      </c>
      <c r="D42" s="26"/>
      <c r="F42" s="25"/>
      <c r="G42" s="25"/>
      <c r="H42" s="25"/>
      <c r="I42" s="25"/>
    </row>
    <row r="43" spans="1:28" ht="26.25" customHeight="1" x14ac:dyDescent="0.3">
      <c r="A43" s="45">
        <v>5007</v>
      </c>
      <c r="B43" s="46" t="s">
        <v>75</v>
      </c>
      <c r="C43" s="47">
        <v>206732</v>
      </c>
      <c r="D43" s="29"/>
      <c r="F43" s="25"/>
      <c r="G43" s="25"/>
      <c r="H43" s="25"/>
      <c r="I43" s="25"/>
    </row>
    <row r="44" spans="1:28" customFormat="1" ht="30" customHeight="1" x14ac:dyDescent="0.3">
      <c r="A44" s="52" t="s">
        <v>17</v>
      </c>
      <c r="B44" s="52" t="s">
        <v>167</v>
      </c>
      <c r="C44" s="53">
        <v>194315</v>
      </c>
      <c r="D44" s="36"/>
      <c r="E44" s="37">
        <v>0</v>
      </c>
      <c r="F44" s="34" t="s">
        <v>81</v>
      </c>
      <c r="G44" s="37">
        <v>0</v>
      </c>
      <c r="H44" s="34" t="s">
        <v>81</v>
      </c>
      <c r="I44" s="37">
        <v>0</v>
      </c>
      <c r="J44" s="34" t="s">
        <v>81</v>
      </c>
      <c r="K44" s="37">
        <v>0</v>
      </c>
      <c r="L44" s="34" t="s">
        <v>81</v>
      </c>
      <c r="M44" s="37">
        <v>0</v>
      </c>
      <c r="N44" s="34" t="s">
        <v>81</v>
      </c>
      <c r="O44" s="37">
        <v>0</v>
      </c>
      <c r="P44" s="37">
        <v>194315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4" t="s">
        <v>702</v>
      </c>
      <c r="X44" s="34" t="s">
        <v>81</v>
      </c>
      <c r="Y44" s="33" t="s">
        <v>701</v>
      </c>
      <c r="Z44" s="33" t="s">
        <v>81</v>
      </c>
      <c r="AA44" s="38"/>
      <c r="AB44" s="33" t="s">
        <v>81</v>
      </c>
    </row>
  </sheetData>
  <mergeCells count="2">
    <mergeCell ref="A1:D1"/>
    <mergeCell ref="A3:D3"/>
  </mergeCells>
  <phoneticPr fontId="3" type="noConversion"/>
  <printOptions horizontalCentered="1"/>
  <pageMargins left="0.19680555164813995" right="0.19680555164813995" top="0.98416668176651001" bottom="0.78736108541488647" header="0.51180553436279297" footer="0.39361110329627991"/>
  <pageSetup paperSize="9" scale="62" firstPageNumber="214" orientation="portrait" useFirstPageNumber="1" r:id="rId1"/>
  <headerFooter>
    <oddFooter>&amp;C&amp;"나눔고딕,Regular"&amp;14&amp;P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B4DA-F7B5-40C1-8D7C-28DB1D744C26}">
  <dimension ref="A1:L25"/>
  <sheetViews>
    <sheetView view="pageBreakPreview" topLeftCell="B1" zoomScaleNormal="100" zoomScaleSheetLayoutView="100" workbookViewId="0">
      <selection activeCell="B1" sqref="B1:G1"/>
    </sheetView>
  </sheetViews>
  <sheetFormatPr defaultColWidth="9" defaultRowHeight="21" customHeight="1" x14ac:dyDescent="0.3"/>
  <cols>
    <col min="1" max="1" width="0" style="13" hidden="1" customWidth="1"/>
    <col min="2" max="3" width="4.625" style="13" customWidth="1"/>
    <col min="4" max="4" width="35.625" style="13" customWidth="1"/>
    <col min="5" max="5" width="19.625" style="13" customWidth="1"/>
    <col min="6" max="6" width="31.5" style="13" customWidth="1"/>
    <col min="7" max="7" width="10.5" style="13" customWidth="1"/>
    <col min="8" max="10" width="9" style="13"/>
    <col min="11" max="11" width="11.25" style="13" bestFit="1" customWidth="1"/>
    <col min="12" max="12" width="11.5" style="13" bestFit="1" customWidth="1"/>
    <col min="13" max="16384" width="9" style="13"/>
  </cols>
  <sheetData>
    <row r="1" spans="1:7" ht="21" customHeight="1" x14ac:dyDescent="0.3">
      <c r="B1" s="199" t="s">
        <v>79</v>
      </c>
      <c r="C1" s="199"/>
      <c r="D1" s="199"/>
      <c r="E1" s="199"/>
      <c r="F1" s="199"/>
      <c r="G1" s="199"/>
    </row>
    <row r="2" spans="1:7" ht="21" customHeight="1" x14ac:dyDescent="0.3">
      <c r="B2" s="200" t="s">
        <v>830</v>
      </c>
      <c r="C2" s="200"/>
      <c r="D2" s="200"/>
      <c r="E2" s="200"/>
      <c r="F2" s="201" t="s">
        <v>17</v>
      </c>
      <c r="G2" s="201"/>
    </row>
    <row r="3" spans="1:7" ht="21" customHeight="1" x14ac:dyDescent="0.3">
      <c r="B3" s="195" t="s">
        <v>87</v>
      </c>
      <c r="C3" s="195"/>
      <c r="D3" s="195"/>
      <c r="E3" s="15" t="s">
        <v>80</v>
      </c>
      <c r="F3" s="15" t="s">
        <v>88</v>
      </c>
      <c r="G3" s="15" t="s">
        <v>89</v>
      </c>
    </row>
    <row r="4" spans="1:7" ht="21" customHeight="1" x14ac:dyDescent="0.3">
      <c r="A4" s="14" t="s">
        <v>82</v>
      </c>
      <c r="B4" s="202" t="s">
        <v>90</v>
      </c>
      <c r="C4" s="202" t="s">
        <v>91</v>
      </c>
      <c r="D4" s="15" t="s">
        <v>92</v>
      </c>
      <c r="E4" s="16">
        <f>'공종별 집계표'!G21</f>
        <v>11781452.6</v>
      </c>
      <c r="F4" s="17" t="s">
        <v>81</v>
      </c>
      <c r="G4" s="17" t="s">
        <v>81</v>
      </c>
    </row>
    <row r="5" spans="1:7" ht="21" customHeight="1" x14ac:dyDescent="0.3">
      <c r="A5" s="14" t="s">
        <v>83</v>
      </c>
      <c r="B5" s="202"/>
      <c r="C5" s="202"/>
      <c r="D5" s="15" t="s">
        <v>93</v>
      </c>
      <c r="E5" s="16">
        <f>E4*0.01</f>
        <v>117814.526</v>
      </c>
      <c r="F5" s="17" t="s">
        <v>814</v>
      </c>
      <c r="G5" s="17" t="s">
        <v>81</v>
      </c>
    </row>
    <row r="6" spans="1:7" ht="21" customHeight="1" x14ac:dyDescent="0.3">
      <c r="A6" s="14" t="s">
        <v>94</v>
      </c>
      <c r="B6" s="202"/>
      <c r="C6" s="202"/>
      <c r="D6" s="15" t="s">
        <v>95</v>
      </c>
      <c r="E6" s="16">
        <f>E4+E5</f>
        <v>11899267.126</v>
      </c>
      <c r="F6" s="17" t="s">
        <v>81</v>
      </c>
      <c r="G6" s="17" t="s">
        <v>81</v>
      </c>
    </row>
    <row r="7" spans="1:7" ht="21" customHeight="1" x14ac:dyDescent="0.3">
      <c r="A7" s="14" t="s">
        <v>84</v>
      </c>
      <c r="B7" s="202"/>
      <c r="C7" s="202" t="s">
        <v>96</v>
      </c>
      <c r="D7" s="15" t="s">
        <v>97</v>
      </c>
      <c r="E7" s="16">
        <f>'공종별 집계표'!I21</f>
        <v>95535253.546120003</v>
      </c>
      <c r="F7" s="17" t="s">
        <v>81</v>
      </c>
      <c r="G7" s="17" t="s">
        <v>81</v>
      </c>
    </row>
    <row r="8" spans="1:7" ht="21" customHeight="1" x14ac:dyDescent="0.3">
      <c r="A8" s="14" t="s">
        <v>85</v>
      </c>
      <c r="B8" s="202"/>
      <c r="C8" s="202"/>
      <c r="D8" s="15" t="s">
        <v>98</v>
      </c>
      <c r="E8" s="16">
        <f>E7*0.12</f>
        <v>11464230.425534399</v>
      </c>
      <c r="F8" s="17" t="s">
        <v>835</v>
      </c>
      <c r="G8" s="17" t="s">
        <v>81</v>
      </c>
    </row>
    <row r="9" spans="1:7" ht="21" customHeight="1" x14ac:dyDescent="0.3">
      <c r="A9" s="190"/>
      <c r="B9" s="202"/>
      <c r="C9" s="202"/>
      <c r="D9" s="191" t="s">
        <v>833</v>
      </c>
      <c r="E9" s="16">
        <f>E7*0.023</f>
        <v>2197310.8315607598</v>
      </c>
      <c r="F9" s="17" t="s">
        <v>834</v>
      </c>
      <c r="G9" s="17"/>
    </row>
    <row r="10" spans="1:7" ht="21" customHeight="1" x14ac:dyDescent="0.3">
      <c r="A10" s="14" t="s">
        <v>99</v>
      </c>
      <c r="B10" s="202"/>
      <c r="C10" s="202"/>
      <c r="D10" s="15" t="s">
        <v>95</v>
      </c>
      <c r="E10" s="16">
        <f>SUM(E7:E9)</f>
        <v>109196794.80321516</v>
      </c>
      <c r="F10" s="17" t="s">
        <v>81</v>
      </c>
      <c r="G10" s="17" t="s">
        <v>81</v>
      </c>
    </row>
    <row r="11" spans="1:7" ht="21" customHeight="1" x14ac:dyDescent="0.3">
      <c r="A11" s="14" t="s">
        <v>100</v>
      </c>
      <c r="B11" s="202"/>
      <c r="C11" s="202" t="s">
        <v>101</v>
      </c>
      <c r="D11" s="51" t="s">
        <v>102</v>
      </c>
      <c r="E11" s="16">
        <v>0</v>
      </c>
      <c r="F11" s="17" t="s">
        <v>81</v>
      </c>
      <c r="G11" s="17" t="s">
        <v>81</v>
      </c>
    </row>
    <row r="12" spans="1:7" ht="21" customHeight="1" x14ac:dyDescent="0.3">
      <c r="A12" s="14" t="s">
        <v>86</v>
      </c>
      <c r="B12" s="202"/>
      <c r="C12" s="202"/>
      <c r="D12" s="51" t="s">
        <v>103</v>
      </c>
      <c r="E12" s="16">
        <f>E10*0.0356</f>
        <v>3887405.8949944596</v>
      </c>
      <c r="F12" s="17" t="s">
        <v>104</v>
      </c>
      <c r="G12" s="17" t="s">
        <v>81</v>
      </c>
    </row>
    <row r="13" spans="1:7" ht="21" customHeight="1" x14ac:dyDescent="0.3">
      <c r="A13" s="14" t="s">
        <v>105</v>
      </c>
      <c r="B13" s="202"/>
      <c r="C13" s="202"/>
      <c r="D13" s="51" t="s">
        <v>106</v>
      </c>
      <c r="E13" s="16">
        <f>E10*0.0101</f>
        <v>1102887.6275124731</v>
      </c>
      <c r="F13" s="17" t="s">
        <v>107</v>
      </c>
      <c r="G13" s="17" t="s">
        <v>81</v>
      </c>
    </row>
    <row r="14" spans="1:7" ht="21" customHeight="1" x14ac:dyDescent="0.3">
      <c r="A14" s="14" t="s">
        <v>108</v>
      </c>
      <c r="B14" s="202"/>
      <c r="C14" s="202"/>
      <c r="D14" s="51" t="s">
        <v>109</v>
      </c>
      <c r="E14" s="16">
        <f>(E6+E7)*0.0311</f>
        <v>3341213.5929029319</v>
      </c>
      <c r="F14" s="17" t="s">
        <v>831</v>
      </c>
      <c r="G14" s="17" t="s">
        <v>81</v>
      </c>
    </row>
    <row r="15" spans="1:7" ht="21" customHeight="1" x14ac:dyDescent="0.3">
      <c r="A15" s="14" t="s">
        <v>110</v>
      </c>
      <c r="B15" s="202"/>
      <c r="C15" s="202"/>
      <c r="D15" s="15" t="s">
        <v>95</v>
      </c>
      <c r="E15" s="16">
        <f>SUM(E11:E14)</f>
        <v>8331507.1154098641</v>
      </c>
      <c r="F15" s="17" t="s">
        <v>81</v>
      </c>
      <c r="G15" s="17" t="s">
        <v>81</v>
      </c>
    </row>
    <row r="16" spans="1:7" ht="21" customHeight="1" x14ac:dyDescent="0.3">
      <c r="A16" s="14" t="s">
        <v>111</v>
      </c>
      <c r="B16" s="195" t="s">
        <v>6</v>
      </c>
      <c r="C16" s="195"/>
      <c r="D16" s="195"/>
      <c r="E16" s="16">
        <f>E15+E10+E6</f>
        <v>129427569.04462503</v>
      </c>
      <c r="F16" s="17" t="s">
        <v>81</v>
      </c>
      <c r="G16" s="17" t="s">
        <v>81</v>
      </c>
    </row>
    <row r="17" spans="1:12" ht="21" customHeight="1" x14ac:dyDescent="0.3">
      <c r="A17" s="14" t="s">
        <v>112</v>
      </c>
      <c r="B17" s="195" t="s">
        <v>113</v>
      </c>
      <c r="C17" s="195"/>
      <c r="D17" s="195"/>
      <c r="E17" s="16">
        <f>E16*0.055</f>
        <v>7118516.2974543767</v>
      </c>
      <c r="F17" s="17" t="s">
        <v>837</v>
      </c>
      <c r="G17" s="17" t="s">
        <v>81</v>
      </c>
    </row>
    <row r="18" spans="1:12" ht="21" customHeight="1" x14ac:dyDescent="0.3">
      <c r="A18" s="14" t="s">
        <v>114</v>
      </c>
      <c r="B18" s="195" t="s">
        <v>115</v>
      </c>
      <c r="C18" s="195"/>
      <c r="D18" s="195"/>
      <c r="E18" s="16">
        <f>(E10+E11+E17)*0.15</f>
        <v>17447296.665100429</v>
      </c>
      <c r="F18" s="17" t="s">
        <v>832</v>
      </c>
      <c r="G18" s="17" t="s">
        <v>81</v>
      </c>
    </row>
    <row r="19" spans="1:12" ht="21" customHeight="1" x14ac:dyDescent="0.3">
      <c r="A19" s="14" t="s">
        <v>116</v>
      </c>
      <c r="B19" s="195" t="s">
        <v>117</v>
      </c>
      <c r="C19" s="195"/>
      <c r="D19" s="195"/>
      <c r="E19" s="16">
        <v>1400000</v>
      </c>
      <c r="F19" s="17" t="s">
        <v>836</v>
      </c>
      <c r="G19" s="17" t="s">
        <v>81</v>
      </c>
      <c r="K19" s="49"/>
    </row>
    <row r="20" spans="1:12" ht="21" hidden="1" customHeight="1" x14ac:dyDescent="0.3">
      <c r="A20" s="14" t="s">
        <v>118</v>
      </c>
      <c r="B20" s="196" t="s">
        <v>17</v>
      </c>
      <c r="C20" s="197"/>
      <c r="D20" s="198"/>
      <c r="E20" s="16"/>
      <c r="F20" s="17" t="s">
        <v>81</v>
      </c>
      <c r="G20" s="17" t="s">
        <v>81</v>
      </c>
    </row>
    <row r="21" spans="1:12" ht="21" customHeight="1" x14ac:dyDescent="0.3">
      <c r="A21" s="14" t="s">
        <v>119</v>
      </c>
      <c r="B21" s="195" t="s">
        <v>120</v>
      </c>
      <c r="C21" s="195"/>
      <c r="D21" s="195"/>
      <c r="E21" s="16">
        <f>E16+E17+E18+E19+E20</f>
        <v>155393382.00717983</v>
      </c>
      <c r="F21" s="17" t="s">
        <v>17</v>
      </c>
      <c r="G21" s="17" t="s">
        <v>81</v>
      </c>
      <c r="K21" s="49"/>
    </row>
    <row r="22" spans="1:12" ht="21" customHeight="1" x14ac:dyDescent="0.3">
      <c r="A22" s="14" t="s">
        <v>121</v>
      </c>
      <c r="B22" s="195" t="s">
        <v>122</v>
      </c>
      <c r="C22" s="195"/>
      <c r="D22" s="195"/>
      <c r="E22" s="16">
        <f>E21*0.1</f>
        <v>15539338.200717984</v>
      </c>
      <c r="F22" s="17" t="s">
        <v>123</v>
      </c>
      <c r="G22" s="17" t="s">
        <v>81</v>
      </c>
    </row>
    <row r="23" spans="1:12" ht="21" customHeight="1" x14ac:dyDescent="0.3">
      <c r="A23" s="14" t="s">
        <v>124</v>
      </c>
      <c r="B23" s="195" t="s">
        <v>127</v>
      </c>
      <c r="C23" s="195"/>
      <c r="D23" s="195"/>
      <c r="E23" s="16">
        <v>170000000</v>
      </c>
      <c r="F23" s="17" t="s">
        <v>838</v>
      </c>
      <c r="G23" s="17" t="s">
        <v>81</v>
      </c>
      <c r="K23" s="48" t="s">
        <v>17</v>
      </c>
      <c r="L23" s="49"/>
    </row>
    <row r="24" spans="1:12" ht="21" customHeight="1" x14ac:dyDescent="0.3">
      <c r="A24" s="14" t="s">
        <v>125</v>
      </c>
      <c r="B24" s="195"/>
      <c r="C24" s="195"/>
      <c r="D24" s="195"/>
      <c r="E24" s="16"/>
      <c r="F24" s="17"/>
      <c r="G24" s="17"/>
      <c r="L24" s="49"/>
    </row>
    <row r="25" spans="1:12" ht="21" customHeight="1" x14ac:dyDescent="0.3">
      <c r="A25" s="14" t="s">
        <v>126</v>
      </c>
      <c r="B25" s="195"/>
      <c r="C25" s="195"/>
      <c r="D25" s="195"/>
      <c r="E25" s="16"/>
      <c r="F25" s="17"/>
      <c r="G25" s="17"/>
      <c r="K25" s="48"/>
      <c r="L25" s="50"/>
    </row>
  </sheetData>
  <mergeCells count="18">
    <mergeCell ref="B1:G1"/>
    <mergeCell ref="B2:E2"/>
    <mergeCell ref="F2:G2"/>
    <mergeCell ref="B3:D3"/>
    <mergeCell ref="B4:B15"/>
    <mergeCell ref="C4:C6"/>
    <mergeCell ref="C7:C10"/>
    <mergeCell ref="C11:C15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21:D21"/>
  </mergeCells>
  <phoneticPr fontId="3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2BD0-B209-4D40-A7BB-524824DA809D}">
  <sheetPr>
    <pageSetUpPr fitToPage="1"/>
  </sheetPr>
  <dimension ref="A1:AY237"/>
  <sheetViews>
    <sheetView topLeftCell="A32" workbookViewId="0">
      <selection activeCell="H5" sqref="H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 x14ac:dyDescent="0.3">
      <c r="A1" s="270" t="s">
        <v>179</v>
      </c>
      <c r="B1" s="270" t="s">
        <v>180</v>
      </c>
      <c r="C1" s="270" t="s">
        <v>181</v>
      </c>
      <c r="D1" s="270" t="s">
        <v>182</v>
      </c>
      <c r="E1" s="270" t="s">
        <v>183</v>
      </c>
      <c r="F1" s="270"/>
      <c r="G1" s="270" t="s">
        <v>184</v>
      </c>
      <c r="H1" s="270"/>
      <c r="I1" s="270" t="s">
        <v>185</v>
      </c>
      <c r="J1" s="270"/>
      <c r="K1" s="270" t="s">
        <v>186</v>
      </c>
      <c r="L1" s="270"/>
      <c r="M1" s="270" t="s">
        <v>187</v>
      </c>
      <c r="N1" s="269" t="s">
        <v>188</v>
      </c>
      <c r="O1" s="269" t="s">
        <v>189</v>
      </c>
      <c r="P1" s="269" t="s">
        <v>190</v>
      </c>
      <c r="Q1" s="269" t="s">
        <v>191</v>
      </c>
      <c r="R1" s="269" t="s">
        <v>192</v>
      </c>
      <c r="S1" s="269" t="s">
        <v>193</v>
      </c>
      <c r="T1" s="269" t="s">
        <v>194</v>
      </c>
      <c r="U1" s="269" t="s">
        <v>195</v>
      </c>
      <c r="V1" s="269" t="s">
        <v>196</v>
      </c>
      <c r="W1" s="269" t="s">
        <v>197</v>
      </c>
      <c r="X1" s="269" t="s">
        <v>198</v>
      </c>
      <c r="Y1" s="269" t="s">
        <v>199</v>
      </c>
      <c r="Z1" s="269" t="s">
        <v>200</v>
      </c>
      <c r="AA1" s="269" t="s">
        <v>201</v>
      </c>
      <c r="AB1" s="269" t="s">
        <v>202</v>
      </c>
      <c r="AC1" s="269" t="s">
        <v>203</v>
      </c>
      <c r="AD1" s="269" t="s">
        <v>204</v>
      </c>
      <c r="AE1" s="269" t="s">
        <v>205</v>
      </c>
      <c r="AF1" s="269" t="s">
        <v>206</v>
      </c>
      <c r="AG1" s="269" t="s">
        <v>207</v>
      </c>
      <c r="AH1" s="269" t="s">
        <v>208</v>
      </c>
      <c r="AI1" s="269" t="s">
        <v>209</v>
      </c>
      <c r="AJ1" s="269" t="s">
        <v>210</v>
      </c>
      <c r="AK1" s="269" t="s">
        <v>211</v>
      </c>
      <c r="AL1" s="269" t="s">
        <v>212</v>
      </c>
      <c r="AM1" s="269" t="s">
        <v>213</v>
      </c>
      <c r="AN1" s="269" t="s">
        <v>214</v>
      </c>
      <c r="AO1" s="269" t="s">
        <v>215</v>
      </c>
      <c r="AP1" s="269" t="s">
        <v>216</v>
      </c>
      <c r="AQ1" s="269" t="s">
        <v>217</v>
      </c>
      <c r="AR1" s="269" t="s">
        <v>218</v>
      </c>
      <c r="AS1" s="269" t="s">
        <v>219</v>
      </c>
      <c r="AT1" s="269" t="s">
        <v>220</v>
      </c>
      <c r="AU1" s="269" t="s">
        <v>221</v>
      </c>
      <c r="AV1" s="269" t="s">
        <v>222</v>
      </c>
      <c r="AW1" s="269" t="s">
        <v>223</v>
      </c>
      <c r="AX1" s="33" t="s">
        <v>224</v>
      </c>
      <c r="AY1" s="33" t="s">
        <v>225</v>
      </c>
    </row>
    <row r="2" spans="1:51" ht="30" customHeight="1" x14ac:dyDescent="0.3">
      <c r="A2" s="270"/>
      <c r="B2" s="270"/>
      <c r="C2" s="270"/>
      <c r="D2" s="270"/>
      <c r="E2" s="35" t="s">
        <v>226</v>
      </c>
      <c r="F2" s="35" t="s">
        <v>227</v>
      </c>
      <c r="G2" s="35" t="s">
        <v>226</v>
      </c>
      <c r="H2" s="35" t="s">
        <v>227</v>
      </c>
      <c r="I2" s="35" t="s">
        <v>226</v>
      </c>
      <c r="J2" s="35" t="s">
        <v>227</v>
      </c>
      <c r="K2" s="35" t="s">
        <v>226</v>
      </c>
      <c r="L2" s="35" t="s">
        <v>227</v>
      </c>
      <c r="M2" s="270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</row>
    <row r="3" spans="1:51" ht="30" customHeight="1" x14ac:dyDescent="0.3">
      <c r="A3" s="34" t="s">
        <v>134</v>
      </c>
      <c r="B3" s="34" t="s">
        <v>546</v>
      </c>
      <c r="C3" s="34" t="s">
        <v>132</v>
      </c>
      <c r="D3" s="30">
        <v>2</v>
      </c>
      <c r="E3" s="31">
        <f>[1]단가대비표!O17</f>
        <v>2140</v>
      </c>
      <c r="F3" s="32">
        <f t="shared" ref="F3:F17" si="0">TRUNC(E3*D3,1)</f>
        <v>4280</v>
      </c>
      <c r="G3" s="31">
        <f>[1]단가대비표!P17</f>
        <v>0</v>
      </c>
      <c r="H3" s="32">
        <f t="shared" ref="H3:H16" si="1">TRUNC(G3*D3,1)</f>
        <v>0</v>
      </c>
      <c r="I3" s="31">
        <f>[1]단가대비표!V17</f>
        <v>0</v>
      </c>
      <c r="J3" s="32">
        <f t="shared" ref="J3:J17" si="2">TRUNC(I3*D3,1)</f>
        <v>0</v>
      </c>
      <c r="K3" s="31">
        <f t="shared" ref="K3:L17" si="3">TRUNC(E3+G3+I3,1)</f>
        <v>2140</v>
      </c>
      <c r="L3" s="32">
        <f t="shared" si="3"/>
        <v>4280</v>
      </c>
      <c r="M3" s="34" t="s">
        <v>81</v>
      </c>
      <c r="N3" s="33" t="s">
        <v>265</v>
      </c>
      <c r="O3" s="33" t="s">
        <v>136</v>
      </c>
      <c r="P3" s="33" t="s">
        <v>137</v>
      </c>
      <c r="Q3" s="33" t="s">
        <v>137</v>
      </c>
      <c r="R3" s="33" t="s">
        <v>138</v>
      </c>
      <c r="AV3" s="33" t="s">
        <v>81</v>
      </c>
      <c r="AW3" s="33" t="s">
        <v>266</v>
      </c>
      <c r="AX3" s="33" t="s">
        <v>81</v>
      </c>
      <c r="AY3" s="33" t="s">
        <v>81</v>
      </c>
    </row>
    <row r="4" spans="1:51" ht="30" customHeight="1" x14ac:dyDescent="0.3">
      <c r="A4" s="34" t="s">
        <v>139</v>
      </c>
      <c r="B4" s="34" t="s">
        <v>547</v>
      </c>
      <c r="C4" s="34" t="s">
        <v>132</v>
      </c>
      <c r="D4" s="30">
        <v>4.0999999999999996</v>
      </c>
      <c r="E4" s="31">
        <f>[1]단가대비표!O18</f>
        <v>2580</v>
      </c>
      <c r="F4" s="32">
        <f t="shared" si="0"/>
        <v>10578</v>
      </c>
      <c r="G4" s="31">
        <f>[1]단가대비표!P18</f>
        <v>0</v>
      </c>
      <c r="H4" s="32">
        <f t="shared" si="1"/>
        <v>0</v>
      </c>
      <c r="I4" s="31">
        <f>[1]단가대비표!V18</f>
        <v>0</v>
      </c>
      <c r="J4" s="32">
        <f t="shared" si="2"/>
        <v>0</v>
      </c>
      <c r="K4" s="31">
        <f t="shared" si="3"/>
        <v>2580</v>
      </c>
      <c r="L4" s="32">
        <f t="shared" si="3"/>
        <v>10578</v>
      </c>
      <c r="M4" s="34" t="s">
        <v>81</v>
      </c>
      <c r="N4" s="33" t="s">
        <v>265</v>
      </c>
      <c r="O4" s="33" t="s">
        <v>141</v>
      </c>
      <c r="P4" s="33" t="s">
        <v>137</v>
      </c>
      <c r="Q4" s="33" t="s">
        <v>137</v>
      </c>
      <c r="R4" s="33" t="s">
        <v>138</v>
      </c>
      <c r="AV4" s="33" t="s">
        <v>81</v>
      </c>
      <c r="AW4" s="33" t="s">
        <v>267</v>
      </c>
      <c r="AX4" s="33" t="s">
        <v>81</v>
      </c>
      <c r="AY4" s="33" t="s">
        <v>81</v>
      </c>
    </row>
    <row r="5" spans="1:51" ht="30" customHeight="1" x14ac:dyDescent="0.3">
      <c r="A5" s="34" t="s">
        <v>142</v>
      </c>
      <c r="B5" s="34" t="s">
        <v>143</v>
      </c>
      <c r="C5" s="34" t="s">
        <v>144</v>
      </c>
      <c r="D5" s="30">
        <v>9</v>
      </c>
      <c r="E5" s="31">
        <f>[1]단가대비표!O19</f>
        <v>250</v>
      </c>
      <c r="F5" s="32">
        <f t="shared" si="0"/>
        <v>2250</v>
      </c>
      <c r="G5" s="31">
        <f>[1]단가대비표!P19</f>
        <v>0</v>
      </c>
      <c r="H5" s="32">
        <f t="shared" si="1"/>
        <v>0</v>
      </c>
      <c r="I5" s="31">
        <f>[1]단가대비표!V19</f>
        <v>0</v>
      </c>
      <c r="J5" s="32">
        <f t="shared" si="2"/>
        <v>0</v>
      </c>
      <c r="K5" s="31">
        <f t="shared" si="3"/>
        <v>250</v>
      </c>
      <c r="L5" s="32">
        <f t="shared" si="3"/>
        <v>2250</v>
      </c>
      <c r="M5" s="34" t="s">
        <v>81</v>
      </c>
      <c r="N5" s="33" t="s">
        <v>265</v>
      </c>
      <c r="O5" s="33" t="s">
        <v>145</v>
      </c>
      <c r="P5" s="33" t="s">
        <v>137</v>
      </c>
      <c r="Q5" s="33" t="s">
        <v>137</v>
      </c>
      <c r="R5" s="33" t="s">
        <v>138</v>
      </c>
      <c r="AV5" s="33" t="s">
        <v>81</v>
      </c>
      <c r="AW5" s="33" t="s">
        <v>268</v>
      </c>
      <c r="AX5" s="33" t="s">
        <v>81</v>
      </c>
      <c r="AY5" s="33" t="s">
        <v>81</v>
      </c>
    </row>
    <row r="6" spans="1:51" ht="30" customHeight="1" x14ac:dyDescent="0.3">
      <c r="A6" s="34" t="s">
        <v>146</v>
      </c>
      <c r="B6" s="34" t="s">
        <v>147</v>
      </c>
      <c r="C6" s="34" t="s">
        <v>132</v>
      </c>
      <c r="D6" s="30">
        <v>1</v>
      </c>
      <c r="E6" s="31">
        <f>[1]단가대비표!O20</f>
        <v>1410</v>
      </c>
      <c r="F6" s="32">
        <f t="shared" si="0"/>
        <v>1410</v>
      </c>
      <c r="G6" s="31">
        <f>[1]단가대비표!P20</f>
        <v>0</v>
      </c>
      <c r="H6" s="32">
        <f t="shared" si="1"/>
        <v>0</v>
      </c>
      <c r="I6" s="31">
        <f>[1]단가대비표!V20</f>
        <v>0</v>
      </c>
      <c r="J6" s="32">
        <f t="shared" si="2"/>
        <v>0</v>
      </c>
      <c r="K6" s="31">
        <f t="shared" si="3"/>
        <v>1410</v>
      </c>
      <c r="L6" s="32">
        <f t="shared" si="3"/>
        <v>1410</v>
      </c>
      <c r="M6" s="34" t="s">
        <v>81</v>
      </c>
      <c r="N6" s="33" t="s">
        <v>265</v>
      </c>
      <c r="O6" s="33" t="s">
        <v>148</v>
      </c>
      <c r="P6" s="33" t="s">
        <v>137</v>
      </c>
      <c r="Q6" s="33" t="s">
        <v>137</v>
      </c>
      <c r="R6" s="33" t="s">
        <v>138</v>
      </c>
      <c r="AV6" s="33" t="s">
        <v>81</v>
      </c>
      <c r="AW6" s="33" t="s">
        <v>269</v>
      </c>
      <c r="AX6" s="33" t="s">
        <v>81</v>
      </c>
      <c r="AY6" s="33" t="s">
        <v>81</v>
      </c>
    </row>
    <row r="7" spans="1:51" ht="30" customHeight="1" x14ac:dyDescent="0.3">
      <c r="A7" s="34" t="s">
        <v>149</v>
      </c>
      <c r="B7" s="34" t="s">
        <v>150</v>
      </c>
      <c r="C7" s="34" t="s">
        <v>144</v>
      </c>
      <c r="D7" s="30">
        <v>4</v>
      </c>
      <c r="E7" s="31">
        <f>[1]단가대비표!O21</f>
        <v>285</v>
      </c>
      <c r="F7" s="32">
        <f t="shared" si="0"/>
        <v>1140</v>
      </c>
      <c r="G7" s="31">
        <f>[1]단가대비표!P21</f>
        <v>0</v>
      </c>
      <c r="H7" s="32">
        <f t="shared" si="1"/>
        <v>0</v>
      </c>
      <c r="I7" s="31">
        <f>[1]단가대비표!V21</f>
        <v>0</v>
      </c>
      <c r="J7" s="32">
        <f t="shared" si="2"/>
        <v>0</v>
      </c>
      <c r="K7" s="31">
        <f t="shared" si="3"/>
        <v>285</v>
      </c>
      <c r="L7" s="32">
        <f t="shared" si="3"/>
        <v>1140</v>
      </c>
      <c r="M7" s="34" t="s">
        <v>81</v>
      </c>
      <c r="N7" s="33" t="s">
        <v>265</v>
      </c>
      <c r="O7" s="33" t="s">
        <v>151</v>
      </c>
      <c r="P7" s="33" t="s">
        <v>137</v>
      </c>
      <c r="Q7" s="33" t="s">
        <v>137</v>
      </c>
      <c r="R7" s="33" t="s">
        <v>138</v>
      </c>
      <c r="AV7" s="33" t="s">
        <v>81</v>
      </c>
      <c r="AW7" s="33" t="s">
        <v>270</v>
      </c>
      <c r="AX7" s="33" t="s">
        <v>81</v>
      </c>
      <c r="AY7" s="33" t="s">
        <v>81</v>
      </c>
    </row>
    <row r="8" spans="1:51" ht="30" customHeight="1" x14ac:dyDescent="0.3">
      <c r="A8" s="34" t="s">
        <v>152</v>
      </c>
      <c r="B8" s="34" t="s">
        <v>153</v>
      </c>
      <c r="C8" s="34" t="s">
        <v>144</v>
      </c>
      <c r="D8" s="30">
        <v>6</v>
      </c>
      <c r="E8" s="31">
        <f>[1]단가대비표!O28</f>
        <v>7.2</v>
      </c>
      <c r="F8" s="32">
        <f t="shared" si="0"/>
        <v>43.2</v>
      </c>
      <c r="G8" s="31">
        <f>[1]단가대비표!P28</f>
        <v>0</v>
      </c>
      <c r="H8" s="32">
        <f t="shared" si="1"/>
        <v>0</v>
      </c>
      <c r="I8" s="31">
        <f>[1]단가대비표!V28</f>
        <v>0</v>
      </c>
      <c r="J8" s="32">
        <f t="shared" si="2"/>
        <v>0</v>
      </c>
      <c r="K8" s="31">
        <f t="shared" si="3"/>
        <v>7.2</v>
      </c>
      <c r="L8" s="32">
        <f t="shared" si="3"/>
        <v>43.2</v>
      </c>
      <c r="M8" s="34" t="s">
        <v>81</v>
      </c>
      <c r="N8" s="33" t="s">
        <v>265</v>
      </c>
      <c r="O8" s="33" t="s">
        <v>154</v>
      </c>
      <c r="P8" s="33" t="s">
        <v>137</v>
      </c>
      <c r="Q8" s="33" t="s">
        <v>137</v>
      </c>
      <c r="R8" s="33" t="s">
        <v>138</v>
      </c>
      <c r="AV8" s="33" t="s">
        <v>81</v>
      </c>
      <c r="AW8" s="33" t="s">
        <v>271</v>
      </c>
      <c r="AX8" s="33" t="s">
        <v>81</v>
      </c>
      <c r="AY8" s="33" t="s">
        <v>81</v>
      </c>
    </row>
    <row r="9" spans="1:51" ht="30" customHeight="1" x14ac:dyDescent="0.3">
      <c r="A9" s="34" t="s">
        <v>155</v>
      </c>
      <c r="B9" s="34" t="s">
        <v>156</v>
      </c>
      <c r="C9" s="34" t="s">
        <v>144</v>
      </c>
      <c r="D9" s="30">
        <v>30</v>
      </c>
      <c r="E9" s="31">
        <f>[1]단가대비표!O22</f>
        <v>10.1</v>
      </c>
      <c r="F9" s="32">
        <f t="shared" si="0"/>
        <v>303</v>
      </c>
      <c r="G9" s="31">
        <f>[1]단가대비표!P22</f>
        <v>0</v>
      </c>
      <c r="H9" s="32">
        <f t="shared" si="1"/>
        <v>0</v>
      </c>
      <c r="I9" s="31">
        <f>[1]단가대비표!V22</f>
        <v>0</v>
      </c>
      <c r="J9" s="32">
        <f t="shared" si="2"/>
        <v>0</v>
      </c>
      <c r="K9" s="31">
        <f t="shared" si="3"/>
        <v>10.1</v>
      </c>
      <c r="L9" s="32">
        <f t="shared" si="3"/>
        <v>303</v>
      </c>
      <c r="M9" s="34" t="s">
        <v>81</v>
      </c>
      <c r="N9" s="33" t="s">
        <v>265</v>
      </c>
      <c r="O9" s="33" t="s">
        <v>157</v>
      </c>
      <c r="P9" s="33" t="s">
        <v>137</v>
      </c>
      <c r="Q9" s="33" t="s">
        <v>137</v>
      </c>
      <c r="R9" s="33" t="s">
        <v>138</v>
      </c>
      <c r="AV9" s="33" t="s">
        <v>81</v>
      </c>
      <c r="AW9" s="33" t="s">
        <v>272</v>
      </c>
      <c r="AX9" s="33" t="s">
        <v>81</v>
      </c>
      <c r="AY9" s="33" t="s">
        <v>81</v>
      </c>
    </row>
    <row r="10" spans="1:51" ht="30" customHeight="1" x14ac:dyDescent="0.3">
      <c r="A10" s="34" t="s">
        <v>155</v>
      </c>
      <c r="B10" s="34" t="s">
        <v>158</v>
      </c>
      <c r="C10" s="34" t="s">
        <v>144</v>
      </c>
      <c r="D10" s="30">
        <v>70</v>
      </c>
      <c r="E10" s="31">
        <f>[1]단가대비표!O23</f>
        <v>13.7</v>
      </c>
      <c r="F10" s="32">
        <f t="shared" si="0"/>
        <v>959</v>
      </c>
      <c r="G10" s="31">
        <f>[1]단가대비표!P23</f>
        <v>0</v>
      </c>
      <c r="H10" s="32">
        <f t="shared" si="1"/>
        <v>0</v>
      </c>
      <c r="I10" s="31">
        <f>[1]단가대비표!V23</f>
        <v>0</v>
      </c>
      <c r="J10" s="32">
        <f t="shared" si="2"/>
        <v>0</v>
      </c>
      <c r="K10" s="31">
        <f t="shared" si="3"/>
        <v>13.7</v>
      </c>
      <c r="L10" s="32">
        <f t="shared" si="3"/>
        <v>959</v>
      </c>
      <c r="M10" s="34" t="s">
        <v>81</v>
      </c>
      <c r="N10" s="33" t="s">
        <v>265</v>
      </c>
      <c r="O10" s="33" t="s">
        <v>159</v>
      </c>
      <c r="P10" s="33" t="s">
        <v>137</v>
      </c>
      <c r="Q10" s="33" t="s">
        <v>137</v>
      </c>
      <c r="R10" s="33" t="s">
        <v>138</v>
      </c>
      <c r="AV10" s="33" t="s">
        <v>81</v>
      </c>
      <c r="AW10" s="33" t="s">
        <v>273</v>
      </c>
      <c r="AX10" s="33" t="s">
        <v>81</v>
      </c>
      <c r="AY10" s="33" t="s">
        <v>81</v>
      </c>
    </row>
    <row r="11" spans="1:51" ht="30" customHeight="1" x14ac:dyDescent="0.3">
      <c r="A11" s="34" t="s">
        <v>160</v>
      </c>
      <c r="B11" s="34" t="s">
        <v>161</v>
      </c>
      <c r="C11" s="34" t="s">
        <v>132</v>
      </c>
      <c r="D11" s="30">
        <v>2.1</v>
      </c>
      <c r="E11" s="31">
        <f>[1]단가대비표!O10</f>
        <v>200</v>
      </c>
      <c r="F11" s="32">
        <f t="shared" si="0"/>
        <v>420</v>
      </c>
      <c r="G11" s="31">
        <f>[1]단가대비표!P10</f>
        <v>0</v>
      </c>
      <c r="H11" s="32">
        <f t="shared" si="1"/>
        <v>0</v>
      </c>
      <c r="I11" s="31">
        <f>[1]단가대비표!V10</f>
        <v>0</v>
      </c>
      <c r="J11" s="32">
        <f t="shared" si="2"/>
        <v>0</v>
      </c>
      <c r="K11" s="31">
        <f t="shared" si="3"/>
        <v>200</v>
      </c>
      <c r="L11" s="32">
        <f t="shared" si="3"/>
        <v>420</v>
      </c>
      <c r="M11" s="34" t="s">
        <v>81</v>
      </c>
      <c r="N11" s="33" t="s">
        <v>265</v>
      </c>
      <c r="O11" s="33" t="s">
        <v>162</v>
      </c>
      <c r="P11" s="33" t="s">
        <v>137</v>
      </c>
      <c r="Q11" s="33" t="s">
        <v>137</v>
      </c>
      <c r="R11" s="33" t="s">
        <v>138</v>
      </c>
      <c r="AV11" s="33" t="s">
        <v>81</v>
      </c>
      <c r="AW11" s="33" t="s">
        <v>274</v>
      </c>
      <c r="AX11" s="33" t="s">
        <v>81</v>
      </c>
      <c r="AY11" s="33" t="s">
        <v>81</v>
      </c>
    </row>
    <row r="12" spans="1:51" ht="30" customHeight="1" x14ac:dyDescent="0.3">
      <c r="A12" s="34" t="s">
        <v>163</v>
      </c>
      <c r="B12" s="34" t="s">
        <v>164</v>
      </c>
      <c r="C12" s="34" t="s">
        <v>165</v>
      </c>
      <c r="D12" s="30">
        <v>0.6</v>
      </c>
      <c r="E12" s="31">
        <f>[1]단가대비표!O39</f>
        <v>1020</v>
      </c>
      <c r="F12" s="32">
        <f t="shared" si="0"/>
        <v>612</v>
      </c>
      <c r="G12" s="31">
        <f>[1]단가대비표!P39</f>
        <v>0</v>
      </c>
      <c r="H12" s="32">
        <f t="shared" si="1"/>
        <v>0</v>
      </c>
      <c r="I12" s="31">
        <f>[1]단가대비표!V39</f>
        <v>0</v>
      </c>
      <c r="J12" s="32">
        <f t="shared" si="2"/>
        <v>0</v>
      </c>
      <c r="K12" s="31">
        <f t="shared" si="3"/>
        <v>1020</v>
      </c>
      <c r="L12" s="32">
        <f t="shared" si="3"/>
        <v>612</v>
      </c>
      <c r="M12" s="34" t="s">
        <v>81</v>
      </c>
      <c r="N12" s="33" t="s">
        <v>265</v>
      </c>
      <c r="O12" s="33" t="s">
        <v>166</v>
      </c>
      <c r="P12" s="33" t="s">
        <v>137</v>
      </c>
      <c r="Q12" s="33" t="s">
        <v>137</v>
      </c>
      <c r="R12" s="33" t="s">
        <v>138</v>
      </c>
      <c r="AV12" s="33" t="s">
        <v>81</v>
      </c>
      <c r="AW12" s="33" t="s">
        <v>275</v>
      </c>
      <c r="AX12" s="33" t="s">
        <v>81</v>
      </c>
      <c r="AY12" s="33" t="s">
        <v>81</v>
      </c>
    </row>
    <row r="13" spans="1:51" ht="30" customHeight="1" x14ac:dyDescent="0.3">
      <c r="A13" s="34" t="s">
        <v>167</v>
      </c>
      <c r="B13" s="34" t="s">
        <v>168</v>
      </c>
      <c r="C13" s="34" t="s">
        <v>3</v>
      </c>
      <c r="D13" s="30">
        <v>0.14000000000000001</v>
      </c>
      <c r="E13" s="31">
        <f>[1]단가대비표!O56</f>
        <v>0</v>
      </c>
      <c r="F13" s="32">
        <f t="shared" si="0"/>
        <v>0</v>
      </c>
      <c r="G13" s="31">
        <f>[1]단가대비표!P56</f>
        <v>194315</v>
      </c>
      <c r="H13" s="32">
        <f t="shared" si="1"/>
        <v>27204.1</v>
      </c>
      <c r="I13" s="31">
        <f>[1]단가대비표!V56</f>
        <v>0</v>
      </c>
      <c r="J13" s="32">
        <f t="shared" si="2"/>
        <v>0</v>
      </c>
      <c r="K13" s="31">
        <f t="shared" si="3"/>
        <v>194315</v>
      </c>
      <c r="L13" s="32">
        <f t="shared" si="3"/>
        <v>27204.1</v>
      </c>
      <c r="M13" s="34" t="s">
        <v>81</v>
      </c>
      <c r="N13" s="33" t="s">
        <v>265</v>
      </c>
      <c r="O13" s="33" t="s">
        <v>169</v>
      </c>
      <c r="P13" s="33" t="s">
        <v>137</v>
      </c>
      <c r="Q13" s="33" t="s">
        <v>137</v>
      </c>
      <c r="R13" s="33" t="s">
        <v>138</v>
      </c>
      <c r="V13">
        <v>1</v>
      </c>
      <c r="AV13" s="33" t="s">
        <v>81</v>
      </c>
      <c r="AW13" s="33" t="s">
        <v>276</v>
      </c>
      <c r="AX13" s="33" t="s">
        <v>81</v>
      </c>
      <c r="AY13" s="33" t="s">
        <v>81</v>
      </c>
    </row>
    <row r="14" spans="1:51" ht="30" customHeight="1" x14ac:dyDescent="0.3">
      <c r="A14" s="34" t="s">
        <v>18</v>
      </c>
      <c r="B14" s="34" t="s">
        <v>168</v>
      </c>
      <c r="C14" s="34" t="s">
        <v>3</v>
      </c>
      <c r="D14" s="30">
        <v>9.1999999999999998E-2</v>
      </c>
      <c r="E14" s="31">
        <f>[1]단가대비표!O61</f>
        <v>0</v>
      </c>
      <c r="F14" s="32">
        <f t="shared" si="0"/>
        <v>0</v>
      </c>
      <c r="G14" s="31">
        <f>[1]단가대비표!P61</f>
        <v>206710</v>
      </c>
      <c r="H14" s="32">
        <f t="shared" si="1"/>
        <v>19017.3</v>
      </c>
      <c r="I14" s="31">
        <f>[1]단가대비표!V61</f>
        <v>0</v>
      </c>
      <c r="J14" s="32">
        <f t="shared" si="2"/>
        <v>0</v>
      </c>
      <c r="K14" s="31">
        <f t="shared" si="3"/>
        <v>206710</v>
      </c>
      <c r="L14" s="32">
        <f t="shared" si="3"/>
        <v>19017.3</v>
      </c>
      <c r="M14" s="34" t="s">
        <v>81</v>
      </c>
      <c r="N14" s="33" t="s">
        <v>265</v>
      </c>
      <c r="O14" s="33" t="s">
        <v>170</v>
      </c>
      <c r="P14" s="33" t="s">
        <v>137</v>
      </c>
      <c r="Q14" s="33" t="s">
        <v>137</v>
      </c>
      <c r="R14" s="33" t="s">
        <v>138</v>
      </c>
      <c r="V14">
        <v>1</v>
      </c>
      <c r="AV14" s="33" t="s">
        <v>81</v>
      </c>
      <c r="AW14" s="33" t="s">
        <v>277</v>
      </c>
      <c r="AX14" s="33" t="s">
        <v>81</v>
      </c>
      <c r="AY14" s="33" t="s">
        <v>81</v>
      </c>
    </row>
    <row r="15" spans="1:51" ht="30" customHeight="1" x14ac:dyDescent="0.3">
      <c r="A15" s="34" t="s">
        <v>4</v>
      </c>
      <c r="B15" s="34" t="s">
        <v>168</v>
      </c>
      <c r="C15" s="34" t="s">
        <v>3</v>
      </c>
      <c r="D15" s="30">
        <v>0.09</v>
      </c>
      <c r="E15" s="31">
        <f>[1]단가대비표!O55</f>
        <v>0</v>
      </c>
      <c r="F15" s="32">
        <f t="shared" si="0"/>
        <v>0</v>
      </c>
      <c r="G15" s="31">
        <f>[1]단가대비표!P55</f>
        <v>138989</v>
      </c>
      <c r="H15" s="32">
        <f t="shared" si="1"/>
        <v>12509</v>
      </c>
      <c r="I15" s="31">
        <f>[1]단가대비표!V55</f>
        <v>0</v>
      </c>
      <c r="J15" s="32">
        <f t="shared" si="2"/>
        <v>0</v>
      </c>
      <c r="K15" s="31">
        <f t="shared" si="3"/>
        <v>138989</v>
      </c>
      <c r="L15" s="32">
        <f t="shared" si="3"/>
        <v>12509</v>
      </c>
      <c r="M15" s="34" t="s">
        <v>81</v>
      </c>
      <c r="N15" s="33" t="s">
        <v>265</v>
      </c>
      <c r="O15" s="33" t="s">
        <v>171</v>
      </c>
      <c r="P15" s="33" t="s">
        <v>137</v>
      </c>
      <c r="Q15" s="33" t="s">
        <v>137</v>
      </c>
      <c r="R15" s="33" t="s">
        <v>138</v>
      </c>
      <c r="V15">
        <v>1</v>
      </c>
      <c r="AV15" s="33" t="s">
        <v>81</v>
      </c>
      <c r="AW15" s="33" t="s">
        <v>278</v>
      </c>
      <c r="AX15" s="33" t="s">
        <v>81</v>
      </c>
      <c r="AY15" s="33" t="s">
        <v>81</v>
      </c>
    </row>
    <row r="16" spans="1:51" ht="30" customHeight="1" x14ac:dyDescent="0.3">
      <c r="A16" s="34" t="s">
        <v>19</v>
      </c>
      <c r="B16" s="34" t="s">
        <v>172</v>
      </c>
      <c r="C16" s="34" t="s">
        <v>5</v>
      </c>
      <c r="D16" s="30">
        <v>1</v>
      </c>
      <c r="E16" s="31">
        <v>0</v>
      </c>
      <c r="F16" s="32">
        <f t="shared" si="0"/>
        <v>0</v>
      </c>
      <c r="G16" s="31">
        <v>0</v>
      </c>
      <c r="H16" s="32">
        <f t="shared" si="1"/>
        <v>0</v>
      </c>
      <c r="I16" s="31">
        <f>TRUNC(SUMIF(V3:V18, RIGHTB(O16, 1), H3:H18)*U16, 2)</f>
        <v>1761.91</v>
      </c>
      <c r="J16" s="32">
        <f t="shared" si="2"/>
        <v>1761.9</v>
      </c>
      <c r="K16" s="31">
        <f t="shared" si="3"/>
        <v>1761.9</v>
      </c>
      <c r="L16" s="32">
        <f t="shared" si="3"/>
        <v>1761.9</v>
      </c>
      <c r="M16" s="34" t="s">
        <v>81</v>
      </c>
      <c r="N16" s="33" t="s">
        <v>265</v>
      </c>
      <c r="O16" s="33" t="s">
        <v>173</v>
      </c>
      <c r="P16" s="33" t="s">
        <v>137</v>
      </c>
      <c r="Q16" s="33" t="s">
        <v>137</v>
      </c>
      <c r="R16" s="33" t="s">
        <v>137</v>
      </c>
      <c r="S16">
        <v>1</v>
      </c>
      <c r="T16">
        <v>2</v>
      </c>
      <c r="U16">
        <v>0.03</v>
      </c>
      <c r="AV16" s="33" t="s">
        <v>81</v>
      </c>
      <c r="AW16" s="33" t="s">
        <v>279</v>
      </c>
      <c r="AX16" s="33" t="s">
        <v>81</v>
      </c>
      <c r="AY16" s="33" t="s">
        <v>81</v>
      </c>
    </row>
    <row r="17" spans="1:51" ht="30" customHeight="1" x14ac:dyDescent="0.3">
      <c r="A17" s="34" t="s">
        <v>174</v>
      </c>
      <c r="B17" s="34" t="s">
        <v>81</v>
      </c>
      <c r="C17" s="34" t="s">
        <v>16</v>
      </c>
      <c r="D17" s="30">
        <v>2</v>
      </c>
      <c r="E17" s="31">
        <f>[1]일위대가목록!E15</f>
        <v>3925</v>
      </c>
      <c r="F17" s="32">
        <f t="shared" si="0"/>
        <v>7850</v>
      </c>
      <c r="G17" s="31">
        <f>[1]일위대가목록!F15</f>
        <v>13907</v>
      </c>
      <c r="H17" s="32">
        <f>TRUNC(G17*D17,1)</f>
        <v>27814</v>
      </c>
      <c r="I17" s="31">
        <f>[1]일위대가목록!G15</f>
        <v>278</v>
      </c>
      <c r="J17" s="32">
        <f t="shared" si="2"/>
        <v>556</v>
      </c>
      <c r="K17" s="31">
        <f t="shared" si="3"/>
        <v>18110</v>
      </c>
      <c r="L17" s="32">
        <f t="shared" si="3"/>
        <v>36220</v>
      </c>
      <c r="M17" s="34" t="s">
        <v>81</v>
      </c>
      <c r="N17" s="33" t="s">
        <v>265</v>
      </c>
      <c r="O17" s="33" t="s">
        <v>175</v>
      </c>
      <c r="P17" s="33" t="s">
        <v>138</v>
      </c>
      <c r="Q17" s="33" t="s">
        <v>137</v>
      </c>
      <c r="R17" s="33" t="s">
        <v>137</v>
      </c>
      <c r="AV17" s="33" t="s">
        <v>81</v>
      </c>
      <c r="AW17" s="33" t="s">
        <v>282</v>
      </c>
      <c r="AX17" s="33" t="s">
        <v>81</v>
      </c>
      <c r="AY17" s="33" t="s">
        <v>81</v>
      </c>
    </row>
    <row r="18" spans="1:51" ht="30" customHeight="1" x14ac:dyDescent="0.3">
      <c r="A18" s="34"/>
      <c r="B18" s="34"/>
      <c r="C18" s="34"/>
      <c r="D18" s="30"/>
      <c r="E18" s="31"/>
      <c r="F18" s="32"/>
      <c r="G18" s="31"/>
      <c r="H18" s="32"/>
      <c r="I18" s="31"/>
      <c r="J18" s="32"/>
      <c r="K18" s="31"/>
      <c r="L18" s="32"/>
      <c r="M18" s="34"/>
      <c r="N18" s="33"/>
      <c r="O18" s="33"/>
      <c r="P18" s="33"/>
      <c r="Q18" s="33"/>
      <c r="R18" s="33"/>
      <c r="AV18" s="33"/>
      <c r="AW18" s="33"/>
      <c r="AX18" s="33"/>
      <c r="AY18" s="33"/>
    </row>
    <row r="19" spans="1:51" ht="30" customHeight="1" x14ac:dyDescent="0.3">
      <c r="A19" s="34" t="s">
        <v>177</v>
      </c>
      <c r="B19" s="34" t="s">
        <v>81</v>
      </c>
      <c r="C19" s="34" t="s">
        <v>81</v>
      </c>
      <c r="D19" s="30"/>
      <c r="E19" s="31"/>
      <c r="F19" s="32">
        <f>TRUNC(SUMIF(N3:N18,#REF!, F3:F18),0)</f>
        <v>0</v>
      </c>
      <c r="G19" s="31"/>
      <c r="H19" s="32">
        <f>TRUNC(SUMIF(N3:N18,#REF!, H3:H18),0)</f>
        <v>0</v>
      </c>
      <c r="I19" s="31"/>
      <c r="J19" s="32">
        <f>TRUNC(SUMIF(N3:N18,#REF!, J3:J18),0)</f>
        <v>0</v>
      </c>
      <c r="K19" s="31"/>
      <c r="L19" s="32">
        <f>F19+H19+J19</f>
        <v>0</v>
      </c>
      <c r="M19" s="34" t="s">
        <v>81</v>
      </c>
      <c r="N19" s="33" t="s">
        <v>178</v>
      </c>
      <c r="O19" s="33" t="s">
        <v>178</v>
      </c>
      <c r="P19" s="33" t="s">
        <v>81</v>
      </c>
      <c r="Q19" s="33" t="s">
        <v>81</v>
      </c>
      <c r="R19" s="33" t="s">
        <v>81</v>
      </c>
      <c r="AV19" s="33" t="s">
        <v>81</v>
      </c>
      <c r="AW19" s="33" t="s">
        <v>81</v>
      </c>
      <c r="AX19" s="33" t="s">
        <v>81</v>
      </c>
      <c r="AY19" s="33" t="s">
        <v>81</v>
      </c>
    </row>
    <row r="20" spans="1:51" ht="30" customHeight="1" x14ac:dyDescent="0.3">
      <c r="A20" s="30"/>
      <c r="B20" s="30"/>
      <c r="C20" s="30"/>
      <c r="D20" s="30"/>
      <c r="E20" s="31"/>
      <c r="F20" s="32"/>
      <c r="G20" s="31"/>
      <c r="H20" s="32"/>
      <c r="I20" s="31"/>
      <c r="J20" s="32"/>
      <c r="K20" s="31"/>
      <c r="L20" s="32"/>
      <c r="M20" s="30"/>
    </row>
    <row r="21" spans="1:51" ht="30" customHeight="1" x14ac:dyDescent="0.3">
      <c r="A21" s="266" t="s">
        <v>289</v>
      </c>
      <c r="B21" s="266"/>
      <c r="C21" s="266"/>
      <c r="D21" s="266"/>
      <c r="E21" s="267"/>
      <c r="F21" s="268"/>
      <c r="G21" s="267"/>
      <c r="H21" s="268"/>
      <c r="I21" s="267"/>
      <c r="J21" s="268"/>
      <c r="K21" s="267"/>
      <c r="L21" s="268"/>
      <c r="M21" s="266"/>
      <c r="N21" s="33" t="s">
        <v>175</v>
      </c>
    </row>
    <row r="22" spans="1:51" ht="30" customHeight="1" x14ac:dyDescent="0.3">
      <c r="A22" s="34" t="s">
        <v>257</v>
      </c>
      <c r="B22" s="34" t="s">
        <v>258</v>
      </c>
      <c r="C22" s="34" t="s">
        <v>16</v>
      </c>
      <c r="D22" s="30">
        <v>1.03</v>
      </c>
      <c r="E22" s="31">
        <f>[1]단가대비표!O7</f>
        <v>3811</v>
      </c>
      <c r="F22" s="32">
        <f>TRUNC(E22*D22,1)</f>
        <v>3925.3</v>
      </c>
      <c r="G22" s="31">
        <f>[1]단가대비표!P7</f>
        <v>0</v>
      </c>
      <c r="H22" s="32">
        <f>TRUNC(G22*D22,1)</f>
        <v>0</v>
      </c>
      <c r="I22" s="31">
        <f>[1]단가대비표!V7</f>
        <v>0</v>
      </c>
      <c r="J22" s="32">
        <f>TRUNC(I22*D22,1)</f>
        <v>0</v>
      </c>
      <c r="K22" s="31">
        <f>TRUNC(E22+G22+I22,1)</f>
        <v>3811</v>
      </c>
      <c r="L22" s="32">
        <f>TRUNC(F22+H22+J22,1)</f>
        <v>3925.3</v>
      </c>
      <c r="M22" s="34" t="s">
        <v>81</v>
      </c>
      <c r="N22" s="33" t="s">
        <v>175</v>
      </c>
      <c r="O22" s="33" t="s">
        <v>259</v>
      </c>
      <c r="P22" s="33" t="s">
        <v>137</v>
      </c>
      <c r="Q22" s="33" t="s">
        <v>137</v>
      </c>
      <c r="R22" s="33" t="s">
        <v>138</v>
      </c>
      <c r="AV22" s="33" t="s">
        <v>81</v>
      </c>
      <c r="AW22" s="33" t="s">
        <v>290</v>
      </c>
      <c r="AX22" s="33" t="s">
        <v>81</v>
      </c>
      <c r="AY22" s="33" t="s">
        <v>81</v>
      </c>
    </row>
    <row r="23" spans="1:51" ht="30" customHeight="1" x14ac:dyDescent="0.3">
      <c r="A23" s="34" t="s">
        <v>239</v>
      </c>
      <c r="B23" s="34" t="s">
        <v>240</v>
      </c>
      <c r="C23" s="34" t="s">
        <v>16</v>
      </c>
      <c r="D23" s="30">
        <v>1</v>
      </c>
      <c r="E23" s="31">
        <f>[1]일위대가목록!E31</f>
        <v>0</v>
      </c>
      <c r="F23" s="32">
        <f>TRUNC(E23*D23,1)</f>
        <v>0</v>
      </c>
      <c r="G23" s="31">
        <f>[1]일위대가목록!F31</f>
        <v>13907</v>
      </c>
      <c r="H23" s="32">
        <f>TRUNC(G23*D23,1)</f>
        <v>13907</v>
      </c>
      <c r="I23" s="31">
        <f>[1]일위대가목록!G31</f>
        <v>278</v>
      </c>
      <c r="J23" s="32">
        <f>TRUNC(I23*D23,1)</f>
        <v>278</v>
      </c>
      <c r="K23" s="31">
        <f>TRUNC(E23+G23+I23,1)</f>
        <v>14185</v>
      </c>
      <c r="L23" s="32">
        <f>TRUNC(F23+H23+J23,1)</f>
        <v>14185</v>
      </c>
      <c r="M23" s="34" t="s">
        <v>81</v>
      </c>
      <c r="N23" s="33" t="s">
        <v>175</v>
      </c>
      <c r="O23" s="33" t="s">
        <v>241</v>
      </c>
      <c r="P23" s="33" t="s">
        <v>138</v>
      </c>
      <c r="Q23" s="33" t="s">
        <v>137</v>
      </c>
      <c r="R23" s="33" t="s">
        <v>137</v>
      </c>
      <c r="AV23" s="33" t="s">
        <v>81</v>
      </c>
      <c r="AW23" s="33" t="s">
        <v>291</v>
      </c>
      <c r="AX23" s="33" t="s">
        <v>81</v>
      </c>
      <c r="AY23" s="33" t="s">
        <v>81</v>
      </c>
    </row>
    <row r="24" spans="1:51" ht="30" customHeight="1" x14ac:dyDescent="0.3">
      <c r="A24" s="34" t="s">
        <v>177</v>
      </c>
      <c r="B24" s="34" t="s">
        <v>81</v>
      </c>
      <c r="C24" s="34" t="s">
        <v>81</v>
      </c>
      <c r="D24" s="30"/>
      <c r="E24" s="31"/>
      <c r="F24" s="32">
        <f>TRUNC(SUMIF(N22:N23, N21, F22:F23),0)</f>
        <v>3925</v>
      </c>
      <c r="G24" s="31"/>
      <c r="H24" s="32">
        <f>TRUNC(SUMIF(N22:N23, N21, H22:H23),0)</f>
        <v>13907</v>
      </c>
      <c r="I24" s="31"/>
      <c r="J24" s="32">
        <f>TRUNC(SUMIF(N22:N23, N21, J22:J23),0)</f>
        <v>278</v>
      </c>
      <c r="K24" s="31"/>
      <c r="L24" s="32">
        <f>F24+H24+J24</f>
        <v>18110</v>
      </c>
      <c r="M24" s="34" t="s">
        <v>81</v>
      </c>
      <c r="N24" s="33" t="s">
        <v>178</v>
      </c>
      <c r="O24" s="33" t="s">
        <v>178</v>
      </c>
      <c r="P24" s="33" t="s">
        <v>81</v>
      </c>
      <c r="Q24" s="33" t="s">
        <v>81</v>
      </c>
      <c r="R24" s="33" t="s">
        <v>81</v>
      </c>
      <c r="AV24" s="33" t="s">
        <v>81</v>
      </c>
      <c r="AW24" s="33" t="s">
        <v>81</v>
      </c>
      <c r="AX24" s="33" t="s">
        <v>81</v>
      </c>
      <c r="AY24" s="33" t="s">
        <v>81</v>
      </c>
    </row>
    <row r="25" spans="1:51" ht="30" customHeight="1" x14ac:dyDescent="0.3">
      <c r="A25" s="30"/>
      <c r="B25" s="30"/>
      <c r="C25" s="30"/>
      <c r="D25" s="30"/>
      <c r="E25" s="31"/>
      <c r="F25" s="32"/>
      <c r="G25" s="31"/>
      <c r="H25" s="32"/>
      <c r="I25" s="31"/>
      <c r="J25" s="32"/>
      <c r="K25" s="31"/>
      <c r="L25" s="32"/>
      <c r="M25" s="30"/>
    </row>
    <row r="26" spans="1:51" ht="30" customHeight="1" x14ac:dyDescent="0.3">
      <c r="A26" s="266" t="s">
        <v>292</v>
      </c>
      <c r="B26" s="266"/>
      <c r="C26" s="266"/>
      <c r="D26" s="266"/>
      <c r="E26" s="267"/>
      <c r="F26" s="268"/>
      <c r="G26" s="267"/>
      <c r="H26" s="268"/>
      <c r="I26" s="267"/>
      <c r="J26" s="268"/>
      <c r="K26" s="267"/>
      <c r="L26" s="268"/>
      <c r="M26" s="266"/>
      <c r="N26" s="33" t="s">
        <v>293</v>
      </c>
    </row>
    <row r="27" spans="1:51" ht="30" customHeight="1" x14ac:dyDescent="0.3">
      <c r="A27" s="34" t="s">
        <v>236</v>
      </c>
      <c r="B27" s="34" t="s">
        <v>294</v>
      </c>
      <c r="C27" s="34" t="s">
        <v>16</v>
      </c>
      <c r="D27" s="30">
        <v>1.03</v>
      </c>
      <c r="E27" s="31">
        <f>[1]단가대비표!O6</f>
        <v>7308</v>
      </c>
      <c r="F27" s="32">
        <f>TRUNC(E27*D27,1)</f>
        <v>7527.2</v>
      </c>
      <c r="G27" s="31">
        <f>[1]단가대비표!P6</f>
        <v>0</v>
      </c>
      <c r="H27" s="32">
        <f>TRUNC(G27*D27,1)</f>
        <v>0</v>
      </c>
      <c r="I27" s="31">
        <f>[1]단가대비표!V6</f>
        <v>0</v>
      </c>
      <c r="J27" s="32">
        <f>TRUNC(I27*D27,1)</f>
        <v>0</v>
      </c>
      <c r="K27" s="31">
        <f>TRUNC(E27+G27+I27,1)</f>
        <v>7308</v>
      </c>
      <c r="L27" s="32">
        <f>TRUNC(F27+H27+J27,1)</f>
        <v>7527.2</v>
      </c>
      <c r="M27" s="34" t="s">
        <v>81</v>
      </c>
      <c r="N27" s="33" t="s">
        <v>293</v>
      </c>
      <c r="O27" s="33" t="s">
        <v>295</v>
      </c>
      <c r="P27" s="33" t="s">
        <v>137</v>
      </c>
      <c r="Q27" s="33" t="s">
        <v>137</v>
      </c>
      <c r="R27" s="33" t="s">
        <v>138</v>
      </c>
      <c r="AV27" s="33" t="s">
        <v>81</v>
      </c>
      <c r="AW27" s="33" t="s">
        <v>296</v>
      </c>
      <c r="AX27" s="33" t="s">
        <v>81</v>
      </c>
      <c r="AY27" s="33" t="s">
        <v>81</v>
      </c>
    </row>
    <row r="28" spans="1:51" ht="30" customHeight="1" x14ac:dyDescent="0.3">
      <c r="A28" s="34" t="s">
        <v>239</v>
      </c>
      <c r="B28" s="34" t="s">
        <v>240</v>
      </c>
      <c r="C28" s="34" t="s">
        <v>16</v>
      </c>
      <c r="D28" s="30">
        <v>1</v>
      </c>
      <c r="E28" s="31">
        <f>[1]일위대가목록!E31</f>
        <v>0</v>
      </c>
      <c r="F28" s="32">
        <f>TRUNC(E28*D28,1)</f>
        <v>0</v>
      </c>
      <c r="G28" s="31">
        <f>[1]일위대가목록!F31</f>
        <v>13907</v>
      </c>
      <c r="H28" s="32">
        <f>TRUNC(G28*D28,1)</f>
        <v>13907</v>
      </c>
      <c r="I28" s="31">
        <f>[1]일위대가목록!G31</f>
        <v>278</v>
      </c>
      <c r="J28" s="32">
        <f>TRUNC(I28*D28,1)</f>
        <v>278</v>
      </c>
      <c r="K28" s="31">
        <f>TRUNC(E28+G28+I28,1)</f>
        <v>14185</v>
      </c>
      <c r="L28" s="32">
        <f>TRUNC(F28+H28+J28,1)</f>
        <v>14185</v>
      </c>
      <c r="M28" s="34" t="s">
        <v>81</v>
      </c>
      <c r="N28" s="33" t="s">
        <v>293</v>
      </c>
      <c r="O28" s="33" t="s">
        <v>241</v>
      </c>
      <c r="P28" s="33" t="s">
        <v>138</v>
      </c>
      <c r="Q28" s="33" t="s">
        <v>137</v>
      </c>
      <c r="R28" s="33" t="s">
        <v>137</v>
      </c>
      <c r="AV28" s="33" t="s">
        <v>81</v>
      </c>
      <c r="AW28" s="33" t="s">
        <v>297</v>
      </c>
      <c r="AX28" s="33" t="s">
        <v>81</v>
      </c>
      <c r="AY28" s="33" t="s">
        <v>81</v>
      </c>
    </row>
    <row r="29" spans="1:51" ht="30" customHeight="1" x14ac:dyDescent="0.3">
      <c r="A29" s="34" t="s">
        <v>177</v>
      </c>
      <c r="B29" s="34" t="s">
        <v>81</v>
      </c>
      <c r="C29" s="34" t="s">
        <v>81</v>
      </c>
      <c r="D29" s="30"/>
      <c r="E29" s="31"/>
      <c r="F29" s="32">
        <f>TRUNC(SUMIF(N27:N28, N26, F27:F28),0)</f>
        <v>7527</v>
      </c>
      <c r="G29" s="31"/>
      <c r="H29" s="32">
        <f>TRUNC(SUMIF(N27:N28, N26, H27:H28),0)</f>
        <v>13907</v>
      </c>
      <c r="I29" s="31"/>
      <c r="J29" s="32">
        <f>TRUNC(SUMIF(N27:N28, N26, J27:J28),0)</f>
        <v>278</v>
      </c>
      <c r="K29" s="31"/>
      <c r="L29" s="32">
        <f>F29+H29+J29</f>
        <v>21712</v>
      </c>
      <c r="M29" s="34" t="s">
        <v>81</v>
      </c>
      <c r="N29" s="33" t="s">
        <v>178</v>
      </c>
      <c r="O29" s="33" t="s">
        <v>178</v>
      </c>
      <c r="P29" s="33" t="s">
        <v>81</v>
      </c>
      <c r="Q29" s="33" t="s">
        <v>81</v>
      </c>
      <c r="R29" s="33" t="s">
        <v>81</v>
      </c>
      <c r="AV29" s="33" t="s">
        <v>81</v>
      </c>
      <c r="AW29" s="33" t="s">
        <v>81</v>
      </c>
      <c r="AX29" s="33" t="s">
        <v>81</v>
      </c>
      <c r="AY29" s="33" t="s">
        <v>81</v>
      </c>
    </row>
    <row r="30" spans="1:51" ht="30" customHeight="1" x14ac:dyDescent="0.3">
      <c r="A30" s="30"/>
      <c r="B30" s="30"/>
      <c r="C30" s="30"/>
      <c r="D30" s="30"/>
      <c r="E30" s="31"/>
      <c r="F30" s="32"/>
      <c r="G30" s="31"/>
      <c r="H30" s="32"/>
      <c r="I30" s="31"/>
      <c r="J30" s="32"/>
      <c r="K30" s="31"/>
      <c r="L30" s="32"/>
      <c r="M30" s="30"/>
    </row>
    <row r="31" spans="1:51" ht="30" customHeight="1" x14ac:dyDescent="0.3">
      <c r="A31" s="266" t="s">
        <v>298</v>
      </c>
      <c r="B31" s="266"/>
      <c r="C31" s="266"/>
      <c r="D31" s="266"/>
      <c r="E31" s="267"/>
      <c r="F31" s="268"/>
      <c r="G31" s="267"/>
      <c r="H31" s="268"/>
      <c r="I31" s="267"/>
      <c r="J31" s="268"/>
      <c r="K31" s="267"/>
      <c r="L31" s="268"/>
      <c r="M31" s="266"/>
      <c r="N31" s="33" t="s">
        <v>299</v>
      </c>
    </row>
    <row r="32" spans="1:51" ht="30" customHeight="1" x14ac:dyDescent="0.3">
      <c r="A32" s="34" t="s">
        <v>300</v>
      </c>
      <c r="B32" s="34" t="s">
        <v>301</v>
      </c>
      <c r="C32" s="34" t="s">
        <v>16</v>
      </c>
      <c r="D32" s="30">
        <v>1.5</v>
      </c>
      <c r="E32" s="31">
        <f>[1]단가대비표!O14</f>
        <v>34000</v>
      </c>
      <c r="F32" s="32">
        <f>TRUNC(E32*D32,1)</f>
        <v>51000</v>
      </c>
      <c r="G32" s="31">
        <f>[1]단가대비표!P14</f>
        <v>0</v>
      </c>
      <c r="H32" s="32">
        <f>TRUNC(G32*D32,1)</f>
        <v>0</v>
      </c>
      <c r="I32" s="31">
        <f>[1]단가대비표!V14</f>
        <v>0</v>
      </c>
      <c r="J32" s="32">
        <f>TRUNC(I32*D32,1)</f>
        <v>0</v>
      </c>
      <c r="K32" s="31">
        <f>TRUNC(E32+G32+I32,1)</f>
        <v>34000</v>
      </c>
      <c r="L32" s="32">
        <f>TRUNC(F32+H32+J32,1)</f>
        <v>51000</v>
      </c>
      <c r="M32" s="34" t="s">
        <v>302</v>
      </c>
      <c r="N32" s="33" t="s">
        <v>299</v>
      </c>
      <c r="O32" s="33" t="s">
        <v>303</v>
      </c>
      <c r="P32" s="33" t="s">
        <v>137</v>
      </c>
      <c r="Q32" s="33" t="s">
        <v>137</v>
      </c>
      <c r="R32" s="33" t="s">
        <v>138</v>
      </c>
      <c r="AV32" s="33" t="s">
        <v>81</v>
      </c>
      <c r="AW32" s="33" t="s">
        <v>304</v>
      </c>
      <c r="AX32" s="33" t="s">
        <v>81</v>
      </c>
      <c r="AY32" s="33" t="s">
        <v>81</v>
      </c>
    </row>
    <row r="33" spans="1:51" ht="30" customHeight="1" x14ac:dyDescent="0.3">
      <c r="A33" s="34" t="s">
        <v>305</v>
      </c>
      <c r="B33" s="34" t="s">
        <v>306</v>
      </c>
      <c r="C33" s="34" t="s">
        <v>16</v>
      </c>
      <c r="D33" s="30">
        <v>1.5</v>
      </c>
      <c r="E33" s="31">
        <f>[1]일위대가목록!E42</f>
        <v>0</v>
      </c>
      <c r="F33" s="32">
        <f>TRUNC(E33*D33,1)</f>
        <v>0</v>
      </c>
      <c r="G33" s="31">
        <f>[1]일위대가목록!F42</f>
        <v>16225</v>
      </c>
      <c r="H33" s="32">
        <f>TRUNC(G33*D33,1)</f>
        <v>24337.5</v>
      </c>
      <c r="I33" s="31">
        <f>[1]일위대가목록!G42</f>
        <v>324</v>
      </c>
      <c r="J33" s="32">
        <f>TRUNC(I33*D33,1)</f>
        <v>486</v>
      </c>
      <c r="K33" s="31">
        <f>TRUNC(E33+G33+I33,1)</f>
        <v>16549</v>
      </c>
      <c r="L33" s="32">
        <f>TRUNC(F33+H33+J33,1)</f>
        <v>24823.5</v>
      </c>
      <c r="M33" s="34" t="s">
        <v>302</v>
      </c>
      <c r="N33" s="33" t="s">
        <v>299</v>
      </c>
      <c r="O33" s="33" t="s">
        <v>307</v>
      </c>
      <c r="P33" s="33" t="s">
        <v>138</v>
      </c>
      <c r="Q33" s="33" t="s">
        <v>137</v>
      </c>
      <c r="R33" s="33" t="s">
        <v>137</v>
      </c>
      <c r="AV33" s="33" t="s">
        <v>81</v>
      </c>
      <c r="AW33" s="33" t="s">
        <v>308</v>
      </c>
      <c r="AX33" s="33" t="s">
        <v>81</v>
      </c>
      <c r="AY33" s="33" t="s">
        <v>81</v>
      </c>
    </row>
    <row r="34" spans="1:51" ht="30" customHeight="1" x14ac:dyDescent="0.3">
      <c r="A34" s="34" t="s">
        <v>177</v>
      </c>
      <c r="B34" s="34" t="s">
        <v>81</v>
      </c>
      <c r="C34" s="34" t="s">
        <v>81</v>
      </c>
      <c r="D34" s="30"/>
      <c r="E34" s="31"/>
      <c r="F34" s="32">
        <f>TRUNC(SUMIF(N32:N33, N31, F32:F33),0)</f>
        <v>51000</v>
      </c>
      <c r="G34" s="31"/>
      <c r="H34" s="32">
        <f>TRUNC(SUMIF(N32:N33, N31, H32:H33),0)</f>
        <v>24337</v>
      </c>
      <c r="I34" s="31"/>
      <c r="J34" s="32">
        <f>TRUNC(SUMIF(N32:N33, N31, J32:J33),0)</f>
        <v>486</v>
      </c>
      <c r="K34" s="31"/>
      <c r="L34" s="32">
        <f>F34+H34+J34</f>
        <v>75823</v>
      </c>
      <c r="M34" s="34" t="s">
        <v>81</v>
      </c>
      <c r="N34" s="33" t="s">
        <v>178</v>
      </c>
      <c r="O34" s="33" t="s">
        <v>178</v>
      </c>
      <c r="P34" s="33" t="s">
        <v>81</v>
      </c>
      <c r="Q34" s="33" t="s">
        <v>81</v>
      </c>
      <c r="R34" s="33" t="s">
        <v>81</v>
      </c>
      <c r="AV34" s="33" t="s">
        <v>81</v>
      </c>
      <c r="AW34" s="33" t="s">
        <v>81</v>
      </c>
      <c r="AX34" s="33" t="s">
        <v>81</v>
      </c>
      <c r="AY34" s="33" t="s">
        <v>81</v>
      </c>
    </row>
    <row r="35" spans="1:51" ht="30" customHeight="1" x14ac:dyDescent="0.3">
      <c r="A35" s="30"/>
      <c r="B35" s="30"/>
      <c r="C35" s="30"/>
      <c r="D35" s="30"/>
      <c r="E35" s="31"/>
      <c r="F35" s="32"/>
      <c r="G35" s="31"/>
      <c r="H35" s="32"/>
      <c r="I35" s="31"/>
      <c r="J35" s="32"/>
      <c r="K35" s="31"/>
      <c r="L35" s="32"/>
      <c r="M35" s="30"/>
    </row>
    <row r="36" spans="1:51" ht="30" customHeight="1" x14ac:dyDescent="0.3">
      <c r="A36" s="266" t="s">
        <v>309</v>
      </c>
      <c r="B36" s="266"/>
      <c r="C36" s="266"/>
      <c r="D36" s="266"/>
      <c r="E36" s="267"/>
      <c r="F36" s="268"/>
      <c r="G36" s="267"/>
      <c r="H36" s="268"/>
      <c r="I36" s="267"/>
      <c r="J36" s="268"/>
      <c r="K36" s="267"/>
      <c r="L36" s="268"/>
      <c r="M36" s="266"/>
      <c r="N36" s="33" t="s">
        <v>310</v>
      </c>
    </row>
    <row r="37" spans="1:51" ht="30" customHeight="1" x14ac:dyDescent="0.3">
      <c r="A37" s="34" t="s">
        <v>18</v>
      </c>
      <c r="B37" s="34" t="s">
        <v>168</v>
      </c>
      <c r="C37" s="34" t="s">
        <v>3</v>
      </c>
      <c r="D37" s="30">
        <v>0.05</v>
      </c>
      <c r="E37" s="31">
        <f>[1]단가대비표!O61</f>
        <v>0</v>
      </c>
      <c r="F37" s="32">
        <f>TRUNC(E37*D37,1)</f>
        <v>0</v>
      </c>
      <c r="G37" s="31">
        <f>[1]단가대비표!P61</f>
        <v>206710</v>
      </c>
      <c r="H37" s="32">
        <f>TRUNC(G37*D37,1)</f>
        <v>10335.5</v>
      </c>
      <c r="I37" s="31">
        <f>[1]단가대비표!V61</f>
        <v>0</v>
      </c>
      <c r="J37" s="32">
        <f>TRUNC(I37*D37,1)</f>
        <v>0</v>
      </c>
      <c r="K37" s="31">
        <f t="shared" ref="K37:L39" si="4">TRUNC(E37+G37+I37,1)</f>
        <v>206710</v>
      </c>
      <c r="L37" s="32">
        <f t="shared" si="4"/>
        <v>10335.5</v>
      </c>
      <c r="M37" s="34" t="s">
        <v>81</v>
      </c>
      <c r="N37" s="33" t="s">
        <v>310</v>
      </c>
      <c r="O37" s="33" t="s">
        <v>170</v>
      </c>
      <c r="P37" s="33" t="s">
        <v>137</v>
      </c>
      <c r="Q37" s="33" t="s">
        <v>137</v>
      </c>
      <c r="R37" s="33" t="s">
        <v>138</v>
      </c>
      <c r="V37">
        <v>1</v>
      </c>
      <c r="AV37" s="33" t="s">
        <v>81</v>
      </c>
      <c r="AW37" s="33" t="s">
        <v>311</v>
      </c>
      <c r="AX37" s="33" t="s">
        <v>81</v>
      </c>
      <c r="AY37" s="33" t="s">
        <v>81</v>
      </c>
    </row>
    <row r="38" spans="1:51" ht="30" customHeight="1" x14ac:dyDescent="0.3">
      <c r="A38" s="34" t="s">
        <v>4</v>
      </c>
      <c r="B38" s="34" t="s">
        <v>168</v>
      </c>
      <c r="C38" s="34" t="s">
        <v>3</v>
      </c>
      <c r="D38" s="30">
        <v>0.01</v>
      </c>
      <c r="E38" s="31">
        <f>[1]단가대비표!O55</f>
        <v>0</v>
      </c>
      <c r="F38" s="32">
        <f>TRUNC(E38*D38,1)</f>
        <v>0</v>
      </c>
      <c r="G38" s="31">
        <f>[1]단가대비표!P55</f>
        <v>138989</v>
      </c>
      <c r="H38" s="32">
        <f>TRUNC(G38*D38,1)</f>
        <v>1389.8</v>
      </c>
      <c r="I38" s="31">
        <f>[1]단가대비표!V55</f>
        <v>0</v>
      </c>
      <c r="J38" s="32">
        <f>TRUNC(I38*D38,1)</f>
        <v>0</v>
      </c>
      <c r="K38" s="31">
        <f t="shared" si="4"/>
        <v>138989</v>
      </c>
      <c r="L38" s="32">
        <f t="shared" si="4"/>
        <v>1389.8</v>
      </c>
      <c r="M38" s="34" t="s">
        <v>81</v>
      </c>
      <c r="N38" s="33" t="s">
        <v>310</v>
      </c>
      <c r="O38" s="33" t="s">
        <v>171</v>
      </c>
      <c r="P38" s="33" t="s">
        <v>137</v>
      </c>
      <c r="Q38" s="33" t="s">
        <v>137</v>
      </c>
      <c r="R38" s="33" t="s">
        <v>138</v>
      </c>
      <c r="V38">
        <v>1</v>
      </c>
      <c r="AV38" s="33" t="s">
        <v>81</v>
      </c>
      <c r="AW38" s="33" t="s">
        <v>312</v>
      </c>
      <c r="AX38" s="33" t="s">
        <v>81</v>
      </c>
      <c r="AY38" s="33" t="s">
        <v>81</v>
      </c>
    </row>
    <row r="39" spans="1:51" ht="30" customHeight="1" x14ac:dyDescent="0.3">
      <c r="A39" s="34" t="s">
        <v>19</v>
      </c>
      <c r="B39" s="34" t="s">
        <v>313</v>
      </c>
      <c r="C39" s="34" t="s">
        <v>5</v>
      </c>
      <c r="D39" s="30">
        <v>1</v>
      </c>
      <c r="E39" s="31">
        <v>0</v>
      </c>
      <c r="F39" s="32">
        <f>TRUNC(E39*D39,1)</f>
        <v>0</v>
      </c>
      <c r="G39" s="31">
        <v>0</v>
      </c>
      <c r="H39" s="32">
        <f>TRUNC(G39*D39,1)</f>
        <v>0</v>
      </c>
      <c r="I39" s="31">
        <f>TRUNC(SUMIF(V37:V39, RIGHTB(O39, 1), H37:H39)*U39, 2)</f>
        <v>351.75</v>
      </c>
      <c r="J39" s="32">
        <f>TRUNC(I39*D39,1)</f>
        <v>351.7</v>
      </c>
      <c r="K39" s="31">
        <f t="shared" si="4"/>
        <v>351.7</v>
      </c>
      <c r="L39" s="32">
        <f t="shared" si="4"/>
        <v>351.7</v>
      </c>
      <c r="M39" s="34" t="s">
        <v>81</v>
      </c>
      <c r="N39" s="33" t="s">
        <v>310</v>
      </c>
      <c r="O39" s="33" t="s">
        <v>173</v>
      </c>
      <c r="P39" s="33" t="s">
        <v>137</v>
      </c>
      <c r="Q39" s="33" t="s">
        <v>137</v>
      </c>
      <c r="R39" s="33" t="s">
        <v>137</v>
      </c>
      <c r="S39">
        <v>1</v>
      </c>
      <c r="T39">
        <v>2</v>
      </c>
      <c r="U39">
        <v>0.03</v>
      </c>
      <c r="AV39" s="33" t="s">
        <v>81</v>
      </c>
      <c r="AW39" s="33" t="s">
        <v>314</v>
      </c>
      <c r="AX39" s="33" t="s">
        <v>81</v>
      </c>
      <c r="AY39" s="33" t="s">
        <v>81</v>
      </c>
    </row>
    <row r="40" spans="1:51" ht="30" customHeight="1" x14ac:dyDescent="0.3">
      <c r="A40" s="34" t="s">
        <v>177</v>
      </c>
      <c r="B40" s="34" t="s">
        <v>81</v>
      </c>
      <c r="C40" s="34" t="s">
        <v>81</v>
      </c>
      <c r="D40" s="30"/>
      <c r="E40" s="31"/>
      <c r="F40" s="32">
        <f>TRUNC(SUMIF(N37:N39, N36, F37:F39),0)</f>
        <v>0</v>
      </c>
      <c r="G40" s="31"/>
      <c r="H40" s="32">
        <f>TRUNC(SUMIF(N37:N39, N36, H37:H39),0)</f>
        <v>11725</v>
      </c>
      <c r="I40" s="31"/>
      <c r="J40" s="32">
        <f>TRUNC(SUMIF(N37:N39, N36, J37:J39),0)</f>
        <v>351</v>
      </c>
      <c r="K40" s="31"/>
      <c r="L40" s="32">
        <f>F40+H40+J40</f>
        <v>12076</v>
      </c>
      <c r="M40" s="34" t="s">
        <v>81</v>
      </c>
      <c r="N40" s="33" t="s">
        <v>178</v>
      </c>
      <c r="O40" s="33" t="s">
        <v>178</v>
      </c>
      <c r="P40" s="33" t="s">
        <v>81</v>
      </c>
      <c r="Q40" s="33" t="s">
        <v>81</v>
      </c>
      <c r="R40" s="33" t="s">
        <v>81</v>
      </c>
      <c r="AV40" s="33" t="s">
        <v>81</v>
      </c>
      <c r="AW40" s="33" t="s">
        <v>81</v>
      </c>
      <c r="AX40" s="33" t="s">
        <v>81</v>
      </c>
      <c r="AY40" s="33" t="s">
        <v>81</v>
      </c>
    </row>
    <row r="41" spans="1:51" ht="30" customHeight="1" x14ac:dyDescent="0.3">
      <c r="A41" s="30"/>
      <c r="B41" s="30"/>
      <c r="C41" s="30"/>
      <c r="D41" s="30"/>
      <c r="E41" s="31"/>
      <c r="F41" s="32"/>
      <c r="G41" s="31"/>
      <c r="H41" s="32"/>
      <c r="I41" s="31"/>
      <c r="J41" s="32"/>
      <c r="K41" s="31"/>
      <c r="L41" s="32"/>
      <c r="M41" s="30"/>
    </row>
    <row r="42" spans="1:51" ht="30" customHeight="1" x14ac:dyDescent="0.3">
      <c r="A42" s="266" t="s">
        <v>315</v>
      </c>
      <c r="B42" s="266"/>
      <c r="C42" s="266"/>
      <c r="D42" s="266"/>
      <c r="E42" s="267"/>
      <c r="F42" s="268"/>
      <c r="G42" s="267"/>
      <c r="H42" s="268"/>
      <c r="I42" s="267"/>
      <c r="J42" s="268"/>
      <c r="K42" s="267"/>
      <c r="L42" s="268"/>
      <c r="M42" s="266"/>
      <c r="N42" s="33" t="s">
        <v>316</v>
      </c>
    </row>
    <row r="43" spans="1:51" ht="30" customHeight="1" x14ac:dyDescent="0.3">
      <c r="A43" s="34" t="s">
        <v>317</v>
      </c>
      <c r="B43" s="34" t="s">
        <v>318</v>
      </c>
      <c r="C43" s="34" t="s">
        <v>16</v>
      </c>
      <c r="D43" s="30">
        <v>1.4</v>
      </c>
      <c r="E43" s="31">
        <f>[1]단가대비표!O42</f>
        <v>84000</v>
      </c>
      <c r="F43" s="32">
        <f>TRUNC(E43*D43,1)</f>
        <v>117600</v>
      </c>
      <c r="G43" s="31">
        <f>[1]단가대비표!P42</f>
        <v>0</v>
      </c>
      <c r="H43" s="32">
        <f>TRUNC(G43*D43,1)</f>
        <v>0</v>
      </c>
      <c r="I43" s="31">
        <f>[1]단가대비표!V42</f>
        <v>0</v>
      </c>
      <c r="J43" s="32">
        <f>TRUNC(I43*D43,1)</f>
        <v>0</v>
      </c>
      <c r="K43" s="31">
        <f>TRUNC(E43+G43+I43,1)</f>
        <v>84000</v>
      </c>
      <c r="L43" s="32">
        <f>TRUNC(F43+H43+J43,1)</f>
        <v>117600</v>
      </c>
      <c r="M43" s="34" t="s">
        <v>81</v>
      </c>
      <c r="N43" s="33" t="s">
        <v>316</v>
      </c>
      <c r="O43" s="33" t="s">
        <v>319</v>
      </c>
      <c r="P43" s="33" t="s">
        <v>137</v>
      </c>
      <c r="Q43" s="33" t="s">
        <v>137</v>
      </c>
      <c r="R43" s="33" t="s">
        <v>138</v>
      </c>
      <c r="AV43" s="33" t="s">
        <v>81</v>
      </c>
      <c r="AW43" s="33" t="s">
        <v>320</v>
      </c>
      <c r="AX43" s="33" t="s">
        <v>81</v>
      </c>
      <c r="AY43" s="33" t="s">
        <v>81</v>
      </c>
    </row>
    <row r="44" spans="1:51" ht="30" customHeight="1" x14ac:dyDescent="0.3">
      <c r="A44" s="34" t="s">
        <v>177</v>
      </c>
      <c r="B44" s="34" t="s">
        <v>81</v>
      </c>
      <c r="C44" s="34" t="s">
        <v>81</v>
      </c>
      <c r="D44" s="30"/>
      <c r="E44" s="31"/>
      <c r="F44" s="32">
        <f>TRUNC(SUMIF(N43:N43, N42, F43:F43),0)</f>
        <v>117600</v>
      </c>
      <c r="G44" s="31"/>
      <c r="H44" s="32">
        <f>TRUNC(SUMIF(N43:N43, N42, H43:H43),0)</f>
        <v>0</v>
      </c>
      <c r="I44" s="31"/>
      <c r="J44" s="32">
        <f>TRUNC(SUMIF(N43:N43, N42, J43:J43),0)</f>
        <v>0</v>
      </c>
      <c r="K44" s="31"/>
      <c r="L44" s="32">
        <f>F44+H44+J44</f>
        <v>117600</v>
      </c>
      <c r="M44" s="34" t="s">
        <v>81</v>
      </c>
      <c r="N44" s="33" t="s">
        <v>178</v>
      </c>
      <c r="O44" s="33" t="s">
        <v>178</v>
      </c>
      <c r="P44" s="33" t="s">
        <v>81</v>
      </c>
      <c r="Q44" s="33" t="s">
        <v>81</v>
      </c>
      <c r="R44" s="33" t="s">
        <v>81</v>
      </c>
      <c r="AV44" s="33" t="s">
        <v>81</v>
      </c>
      <c r="AW44" s="33" t="s">
        <v>81</v>
      </c>
      <c r="AX44" s="33" t="s">
        <v>81</v>
      </c>
      <c r="AY44" s="33" t="s">
        <v>81</v>
      </c>
    </row>
    <row r="45" spans="1:51" ht="30" customHeight="1" x14ac:dyDescent="0.3">
      <c r="A45" s="30"/>
      <c r="B45" s="30"/>
      <c r="C45" s="30"/>
      <c r="D45" s="30"/>
      <c r="E45" s="31"/>
      <c r="F45" s="32"/>
      <c r="G45" s="31"/>
      <c r="H45" s="32"/>
      <c r="I45" s="31"/>
      <c r="J45" s="32"/>
      <c r="K45" s="31"/>
      <c r="L45" s="32"/>
      <c r="M45" s="30"/>
    </row>
    <row r="46" spans="1:51" ht="30" customHeight="1" x14ac:dyDescent="0.3">
      <c r="A46" s="266" t="s">
        <v>321</v>
      </c>
      <c r="B46" s="266"/>
      <c r="C46" s="266"/>
      <c r="D46" s="266"/>
      <c r="E46" s="267"/>
      <c r="F46" s="268"/>
      <c r="G46" s="267"/>
      <c r="H46" s="268"/>
      <c r="I46" s="267"/>
      <c r="J46" s="268"/>
      <c r="K46" s="267"/>
      <c r="L46" s="268"/>
      <c r="M46" s="266"/>
      <c r="N46" s="33" t="s">
        <v>322</v>
      </c>
    </row>
    <row r="47" spans="1:51" ht="30" customHeight="1" x14ac:dyDescent="0.3">
      <c r="A47" s="34" t="s">
        <v>323</v>
      </c>
      <c r="B47" s="34" t="s">
        <v>324</v>
      </c>
      <c r="C47" s="34" t="s">
        <v>16</v>
      </c>
      <c r="D47" s="30">
        <v>1</v>
      </c>
      <c r="E47" s="31">
        <f>[1]일위대가목록!E43</f>
        <v>523</v>
      </c>
      <c r="F47" s="32">
        <f>TRUNC(E47*D47,1)</f>
        <v>523</v>
      </c>
      <c r="G47" s="31">
        <f>[1]일위대가목록!F43</f>
        <v>0</v>
      </c>
      <c r="H47" s="32">
        <f>TRUNC(G47*D47,1)</f>
        <v>0</v>
      </c>
      <c r="I47" s="31">
        <f>[1]일위대가목록!G43</f>
        <v>0</v>
      </c>
      <c r="J47" s="32">
        <f>TRUNC(I47*D47,1)</f>
        <v>0</v>
      </c>
      <c r="K47" s="31">
        <f>TRUNC(E47+G47+I47,1)</f>
        <v>523</v>
      </c>
      <c r="L47" s="32">
        <f>TRUNC(F47+H47+J47,1)</f>
        <v>523</v>
      </c>
      <c r="M47" s="34" t="s">
        <v>81</v>
      </c>
      <c r="N47" s="33" t="s">
        <v>322</v>
      </c>
      <c r="O47" s="33" t="s">
        <v>325</v>
      </c>
      <c r="P47" s="33" t="s">
        <v>138</v>
      </c>
      <c r="Q47" s="33" t="s">
        <v>137</v>
      </c>
      <c r="R47" s="33" t="s">
        <v>137</v>
      </c>
      <c r="AV47" s="33" t="s">
        <v>81</v>
      </c>
      <c r="AW47" s="33" t="s">
        <v>326</v>
      </c>
      <c r="AX47" s="33" t="s">
        <v>81</v>
      </c>
      <c r="AY47" s="33" t="s">
        <v>81</v>
      </c>
    </row>
    <row r="48" spans="1:51" ht="30" customHeight="1" x14ac:dyDescent="0.3">
      <c r="A48" s="34" t="s">
        <v>327</v>
      </c>
      <c r="B48" s="34" t="s">
        <v>328</v>
      </c>
      <c r="C48" s="34" t="s">
        <v>16</v>
      </c>
      <c r="D48" s="30">
        <v>1</v>
      </c>
      <c r="E48" s="31">
        <f>[1]일위대가목록!E44</f>
        <v>0</v>
      </c>
      <c r="F48" s="32">
        <f>TRUNC(E48*D48,1)</f>
        <v>0</v>
      </c>
      <c r="G48" s="31">
        <f>[1]일위대가목록!F44</f>
        <v>5133</v>
      </c>
      <c r="H48" s="32">
        <f>TRUNC(G48*D48,1)</f>
        <v>5133</v>
      </c>
      <c r="I48" s="31">
        <f>[1]일위대가목록!G44</f>
        <v>0</v>
      </c>
      <c r="J48" s="32">
        <f>TRUNC(I48*D48,1)</f>
        <v>0</v>
      </c>
      <c r="K48" s="31">
        <f>TRUNC(E48+G48+I48,1)</f>
        <v>5133</v>
      </c>
      <c r="L48" s="32">
        <f>TRUNC(F48+H48+J48,1)</f>
        <v>5133</v>
      </c>
      <c r="M48" s="34" t="s">
        <v>81</v>
      </c>
      <c r="N48" s="33" t="s">
        <v>322</v>
      </c>
      <c r="O48" s="33" t="s">
        <v>329</v>
      </c>
      <c r="P48" s="33" t="s">
        <v>138</v>
      </c>
      <c r="Q48" s="33" t="s">
        <v>137</v>
      </c>
      <c r="R48" s="33" t="s">
        <v>137</v>
      </c>
      <c r="AV48" s="33" t="s">
        <v>81</v>
      </c>
      <c r="AW48" s="33" t="s">
        <v>330</v>
      </c>
      <c r="AX48" s="33" t="s">
        <v>81</v>
      </c>
      <c r="AY48" s="33" t="s">
        <v>81</v>
      </c>
    </row>
    <row r="49" spans="1:51" ht="30" customHeight="1" x14ac:dyDescent="0.3">
      <c r="A49" s="34" t="s">
        <v>177</v>
      </c>
      <c r="B49" s="34" t="s">
        <v>81</v>
      </c>
      <c r="C49" s="34" t="s">
        <v>81</v>
      </c>
      <c r="D49" s="30"/>
      <c r="E49" s="31"/>
      <c r="F49" s="32">
        <f>TRUNC(SUMIF(N47:N48, N46, F47:F48),0)</f>
        <v>523</v>
      </c>
      <c r="G49" s="31"/>
      <c r="H49" s="32">
        <f>TRUNC(SUMIF(N47:N48, N46, H47:H48),0)</f>
        <v>5133</v>
      </c>
      <c r="I49" s="31"/>
      <c r="J49" s="32">
        <f>TRUNC(SUMIF(N47:N48, N46, J47:J48),0)</f>
        <v>0</v>
      </c>
      <c r="K49" s="31"/>
      <c r="L49" s="32">
        <f>F49+H49+J49</f>
        <v>5656</v>
      </c>
      <c r="M49" s="34" t="s">
        <v>81</v>
      </c>
      <c r="N49" s="33" t="s">
        <v>178</v>
      </c>
      <c r="O49" s="33" t="s">
        <v>178</v>
      </c>
      <c r="P49" s="33" t="s">
        <v>81</v>
      </c>
      <c r="Q49" s="33" t="s">
        <v>81</v>
      </c>
      <c r="R49" s="33" t="s">
        <v>81</v>
      </c>
      <c r="AV49" s="33" t="s">
        <v>81</v>
      </c>
      <c r="AW49" s="33" t="s">
        <v>81</v>
      </c>
      <c r="AX49" s="33" t="s">
        <v>81</v>
      </c>
      <c r="AY49" s="33" t="s">
        <v>81</v>
      </c>
    </row>
    <row r="50" spans="1:51" ht="30" customHeight="1" x14ac:dyDescent="0.3">
      <c r="A50" s="30"/>
      <c r="B50" s="30"/>
      <c r="C50" s="30"/>
      <c r="D50" s="30"/>
      <c r="E50" s="31"/>
      <c r="F50" s="32"/>
      <c r="G50" s="31"/>
      <c r="H50" s="32"/>
      <c r="I50" s="31"/>
      <c r="J50" s="32"/>
      <c r="K50" s="31"/>
      <c r="L50" s="32"/>
      <c r="M50" s="30"/>
    </row>
    <row r="51" spans="1:51" ht="30" customHeight="1" x14ac:dyDescent="0.3">
      <c r="A51" s="266" t="s">
        <v>331</v>
      </c>
      <c r="B51" s="266"/>
      <c r="C51" s="266"/>
      <c r="D51" s="266"/>
      <c r="E51" s="267"/>
      <c r="F51" s="268"/>
      <c r="G51" s="267"/>
      <c r="H51" s="268"/>
      <c r="I51" s="267"/>
      <c r="J51" s="268"/>
      <c r="K51" s="267"/>
      <c r="L51" s="268"/>
      <c r="M51" s="266"/>
      <c r="N51" s="33" t="s">
        <v>332</v>
      </c>
    </row>
    <row r="52" spans="1:51" ht="30" customHeight="1" x14ac:dyDescent="0.3">
      <c r="A52" s="34" t="s">
        <v>333</v>
      </c>
      <c r="B52" s="34" t="s">
        <v>324</v>
      </c>
      <c r="C52" s="34" t="s">
        <v>16</v>
      </c>
      <c r="D52" s="30">
        <v>1</v>
      </c>
      <c r="E52" s="31">
        <f>[1]일위대가목록!E45</f>
        <v>466</v>
      </c>
      <c r="F52" s="32">
        <f>TRUNC(E52*D52,1)</f>
        <v>466</v>
      </c>
      <c r="G52" s="31">
        <f>[1]일위대가목록!F45</f>
        <v>0</v>
      </c>
      <c r="H52" s="32">
        <f>TRUNC(G52*D52,1)</f>
        <v>0</v>
      </c>
      <c r="I52" s="31">
        <f>[1]일위대가목록!G45</f>
        <v>0</v>
      </c>
      <c r="J52" s="32">
        <f>TRUNC(I52*D52,1)</f>
        <v>0</v>
      </c>
      <c r="K52" s="31">
        <f>TRUNC(E52+G52+I52,1)</f>
        <v>466</v>
      </c>
      <c r="L52" s="32">
        <f>TRUNC(F52+H52+J52,1)</f>
        <v>466</v>
      </c>
      <c r="M52" s="34" t="s">
        <v>81</v>
      </c>
      <c r="N52" s="33" t="s">
        <v>332</v>
      </c>
      <c r="O52" s="33" t="s">
        <v>334</v>
      </c>
      <c r="P52" s="33" t="s">
        <v>138</v>
      </c>
      <c r="Q52" s="33" t="s">
        <v>137</v>
      </c>
      <c r="R52" s="33" t="s">
        <v>137</v>
      </c>
      <c r="AV52" s="33" t="s">
        <v>81</v>
      </c>
      <c r="AW52" s="33" t="s">
        <v>335</v>
      </c>
      <c r="AX52" s="33" t="s">
        <v>81</v>
      </c>
      <c r="AY52" s="33" t="s">
        <v>81</v>
      </c>
    </row>
    <row r="53" spans="1:51" ht="30" customHeight="1" x14ac:dyDescent="0.3">
      <c r="A53" s="34" t="s">
        <v>327</v>
      </c>
      <c r="B53" s="34" t="s">
        <v>336</v>
      </c>
      <c r="C53" s="34" t="s">
        <v>16</v>
      </c>
      <c r="D53" s="30">
        <v>1</v>
      </c>
      <c r="E53" s="31">
        <f>[1]일위대가목록!E46</f>
        <v>0</v>
      </c>
      <c r="F53" s="32">
        <f>TRUNC(E53*D53,1)</f>
        <v>0</v>
      </c>
      <c r="G53" s="31">
        <f>[1]일위대가목록!F46</f>
        <v>7371</v>
      </c>
      <c r="H53" s="32">
        <f>TRUNC(G53*D53,1)</f>
        <v>7371</v>
      </c>
      <c r="I53" s="31">
        <f>[1]일위대가목록!G46</f>
        <v>0</v>
      </c>
      <c r="J53" s="32">
        <f>TRUNC(I53*D53,1)</f>
        <v>0</v>
      </c>
      <c r="K53" s="31">
        <f>TRUNC(E53+G53+I53,1)</f>
        <v>7371</v>
      </c>
      <c r="L53" s="32">
        <f>TRUNC(F53+H53+J53,1)</f>
        <v>7371</v>
      </c>
      <c r="M53" s="34" t="s">
        <v>81</v>
      </c>
      <c r="N53" s="33" t="s">
        <v>332</v>
      </c>
      <c r="O53" s="33" t="s">
        <v>337</v>
      </c>
      <c r="P53" s="33" t="s">
        <v>138</v>
      </c>
      <c r="Q53" s="33" t="s">
        <v>137</v>
      </c>
      <c r="R53" s="33" t="s">
        <v>137</v>
      </c>
      <c r="AV53" s="33" t="s">
        <v>81</v>
      </c>
      <c r="AW53" s="33" t="s">
        <v>338</v>
      </c>
      <c r="AX53" s="33" t="s">
        <v>81</v>
      </c>
      <c r="AY53" s="33" t="s">
        <v>81</v>
      </c>
    </row>
    <row r="54" spans="1:51" ht="30" customHeight="1" x14ac:dyDescent="0.3">
      <c r="A54" s="34" t="s">
        <v>177</v>
      </c>
      <c r="B54" s="34" t="s">
        <v>81</v>
      </c>
      <c r="C54" s="34" t="s">
        <v>81</v>
      </c>
      <c r="D54" s="30"/>
      <c r="E54" s="31"/>
      <c r="F54" s="32">
        <f>TRUNC(SUMIF(N52:N53, N51, F52:F53),0)</f>
        <v>466</v>
      </c>
      <c r="G54" s="31"/>
      <c r="H54" s="32">
        <f>TRUNC(SUMIF(N52:N53, N51, H52:H53),0)</f>
        <v>7371</v>
      </c>
      <c r="I54" s="31"/>
      <c r="J54" s="32">
        <f>TRUNC(SUMIF(N52:N53, N51, J52:J53),0)</f>
        <v>0</v>
      </c>
      <c r="K54" s="31"/>
      <c r="L54" s="32">
        <f>F54+H54+J54</f>
        <v>7837</v>
      </c>
      <c r="M54" s="34" t="s">
        <v>81</v>
      </c>
      <c r="N54" s="33" t="s">
        <v>178</v>
      </c>
      <c r="O54" s="33" t="s">
        <v>178</v>
      </c>
      <c r="P54" s="33" t="s">
        <v>81</v>
      </c>
      <c r="Q54" s="33" t="s">
        <v>81</v>
      </c>
      <c r="R54" s="33" t="s">
        <v>81</v>
      </c>
      <c r="AV54" s="33" t="s">
        <v>81</v>
      </c>
      <c r="AW54" s="33" t="s">
        <v>81</v>
      </c>
      <c r="AX54" s="33" t="s">
        <v>81</v>
      </c>
      <c r="AY54" s="33" t="s">
        <v>81</v>
      </c>
    </row>
    <row r="55" spans="1:51" ht="30" customHeight="1" x14ac:dyDescent="0.3">
      <c r="A55" s="30"/>
      <c r="B55" s="30"/>
      <c r="C55" s="30"/>
      <c r="D55" s="30"/>
      <c r="E55" s="31"/>
      <c r="F55" s="32"/>
      <c r="G55" s="31"/>
      <c r="H55" s="32"/>
      <c r="I55" s="31"/>
      <c r="J55" s="32"/>
      <c r="K55" s="31"/>
      <c r="L55" s="32"/>
      <c r="M55" s="30"/>
    </row>
    <row r="56" spans="1:51" ht="30" customHeight="1" x14ac:dyDescent="0.3">
      <c r="A56" s="266" t="s">
        <v>339</v>
      </c>
      <c r="B56" s="266"/>
      <c r="C56" s="266"/>
      <c r="D56" s="266"/>
      <c r="E56" s="267"/>
      <c r="F56" s="268"/>
      <c r="G56" s="267"/>
      <c r="H56" s="268"/>
      <c r="I56" s="267"/>
      <c r="J56" s="268"/>
      <c r="K56" s="267"/>
      <c r="L56" s="268"/>
      <c r="M56" s="266"/>
      <c r="N56" s="33" t="s">
        <v>340</v>
      </c>
    </row>
    <row r="57" spans="1:51" ht="30" customHeight="1" x14ac:dyDescent="0.3">
      <c r="A57" s="34" t="s">
        <v>341</v>
      </c>
      <c r="B57" s="34" t="s">
        <v>342</v>
      </c>
      <c r="C57" s="34" t="s">
        <v>343</v>
      </c>
      <c r="D57" s="30">
        <v>5.9</v>
      </c>
      <c r="E57" s="31">
        <f>[1]단가대비표!O53</f>
        <v>42121</v>
      </c>
      <c r="F57" s="32">
        <f>TRUNC(E57*D57,1)</f>
        <v>248513.9</v>
      </c>
      <c r="G57" s="31">
        <f>[1]단가대비표!P53</f>
        <v>19979</v>
      </c>
      <c r="H57" s="32">
        <f>TRUNC(G57*D57,1)</f>
        <v>117876.1</v>
      </c>
      <c r="I57" s="31">
        <f>[1]단가대비표!V53</f>
        <v>0</v>
      </c>
      <c r="J57" s="32">
        <f>TRUNC(I57*D57,1)</f>
        <v>0</v>
      </c>
      <c r="K57" s="31">
        <f>TRUNC(E57+G57+I57,1)</f>
        <v>62100</v>
      </c>
      <c r="L57" s="32">
        <f>TRUNC(F57+H57+J57,1)</f>
        <v>366390</v>
      </c>
      <c r="M57" s="34" t="s">
        <v>81</v>
      </c>
      <c r="N57" s="33" t="s">
        <v>340</v>
      </c>
      <c r="O57" s="33" t="s">
        <v>344</v>
      </c>
      <c r="P57" s="33" t="s">
        <v>137</v>
      </c>
      <c r="Q57" s="33" t="s">
        <v>137</v>
      </c>
      <c r="R57" s="33" t="s">
        <v>138</v>
      </c>
      <c r="AV57" s="33" t="s">
        <v>81</v>
      </c>
      <c r="AW57" s="33" t="s">
        <v>345</v>
      </c>
      <c r="AX57" s="33" t="s">
        <v>81</v>
      </c>
      <c r="AY57" s="33" t="s">
        <v>81</v>
      </c>
    </row>
    <row r="58" spans="1:51" ht="30" customHeight="1" x14ac:dyDescent="0.3">
      <c r="A58" s="34" t="s">
        <v>177</v>
      </c>
      <c r="B58" s="34" t="s">
        <v>81</v>
      </c>
      <c r="C58" s="34" t="s">
        <v>81</v>
      </c>
      <c r="D58" s="30"/>
      <c r="E58" s="31"/>
      <c r="F58" s="32">
        <f>TRUNC(SUMIF(N57:N57, N56, F57:F57),0)</f>
        <v>248513</v>
      </c>
      <c r="G58" s="31"/>
      <c r="H58" s="32">
        <f>TRUNC(SUMIF(N57:N57, N56, H57:H57),0)</f>
        <v>117876</v>
      </c>
      <c r="I58" s="31"/>
      <c r="J58" s="32">
        <f>TRUNC(SUMIF(N57:N57, N56, J57:J57),0)</f>
        <v>0</v>
      </c>
      <c r="K58" s="31"/>
      <c r="L58" s="32">
        <f>F58+H58+J58</f>
        <v>366389</v>
      </c>
      <c r="M58" s="34" t="s">
        <v>81</v>
      </c>
      <c r="N58" s="33" t="s">
        <v>178</v>
      </c>
      <c r="O58" s="33" t="s">
        <v>178</v>
      </c>
      <c r="P58" s="33" t="s">
        <v>81</v>
      </c>
      <c r="Q58" s="33" t="s">
        <v>81</v>
      </c>
      <c r="R58" s="33" t="s">
        <v>81</v>
      </c>
      <c r="AV58" s="33" t="s">
        <v>81</v>
      </c>
      <c r="AW58" s="33" t="s">
        <v>81</v>
      </c>
      <c r="AX58" s="33" t="s">
        <v>81</v>
      </c>
      <c r="AY58" s="33" t="s">
        <v>81</v>
      </c>
    </row>
    <row r="59" spans="1:51" ht="30" customHeight="1" x14ac:dyDescent="0.3">
      <c r="A59" s="30"/>
      <c r="B59" s="30"/>
      <c r="C59" s="30"/>
      <c r="D59" s="30"/>
      <c r="E59" s="31"/>
      <c r="F59" s="32"/>
      <c r="G59" s="31"/>
      <c r="H59" s="32"/>
      <c r="I59" s="31"/>
      <c r="J59" s="32"/>
      <c r="K59" s="31"/>
      <c r="L59" s="32"/>
      <c r="M59" s="30"/>
    </row>
    <row r="60" spans="1:51" ht="30" customHeight="1" x14ac:dyDescent="0.3">
      <c r="A60" s="266" t="s">
        <v>346</v>
      </c>
      <c r="B60" s="266"/>
      <c r="C60" s="266"/>
      <c r="D60" s="266"/>
      <c r="E60" s="267"/>
      <c r="F60" s="268"/>
      <c r="G60" s="267"/>
      <c r="H60" s="268"/>
      <c r="I60" s="267"/>
      <c r="J60" s="268"/>
      <c r="K60" s="267"/>
      <c r="L60" s="268"/>
      <c r="M60" s="266"/>
      <c r="N60" s="33" t="s">
        <v>347</v>
      </c>
    </row>
    <row r="61" spans="1:51" ht="30" customHeight="1" x14ac:dyDescent="0.3">
      <c r="A61" s="34" t="s">
        <v>348</v>
      </c>
      <c r="B61" s="34" t="s">
        <v>349</v>
      </c>
      <c r="C61" s="34" t="s">
        <v>133</v>
      </c>
      <c r="D61" s="30">
        <v>1</v>
      </c>
      <c r="E61" s="31">
        <f>[1]단가대비표!O27</f>
        <v>180000</v>
      </c>
      <c r="F61" s="32">
        <f>TRUNC(E61*D61,1)</f>
        <v>180000</v>
      </c>
      <c r="G61" s="31">
        <f>[1]단가대비표!P27</f>
        <v>0</v>
      </c>
      <c r="H61" s="32">
        <f>TRUNC(G61*D61,1)</f>
        <v>0</v>
      </c>
      <c r="I61" s="31">
        <f>[1]단가대비표!V27</f>
        <v>0</v>
      </c>
      <c r="J61" s="32">
        <f>TRUNC(I61*D61,1)</f>
        <v>0</v>
      </c>
      <c r="K61" s="31">
        <f>TRUNC(E61+G61+I61,1)</f>
        <v>180000</v>
      </c>
      <c r="L61" s="32">
        <f>TRUNC(F61+H61+J61,1)</f>
        <v>180000</v>
      </c>
      <c r="M61" s="34" t="s">
        <v>81</v>
      </c>
      <c r="N61" s="33" t="s">
        <v>347</v>
      </c>
      <c r="O61" s="33" t="s">
        <v>350</v>
      </c>
      <c r="P61" s="33" t="s">
        <v>137</v>
      </c>
      <c r="Q61" s="33" t="s">
        <v>137</v>
      </c>
      <c r="R61" s="33" t="s">
        <v>138</v>
      </c>
      <c r="AV61" s="33" t="s">
        <v>81</v>
      </c>
      <c r="AW61" s="33" t="s">
        <v>351</v>
      </c>
      <c r="AX61" s="33" t="s">
        <v>81</v>
      </c>
      <c r="AY61" s="33" t="s">
        <v>81</v>
      </c>
    </row>
    <row r="62" spans="1:51" ht="30" customHeight="1" x14ac:dyDescent="0.3">
      <c r="A62" s="34" t="s">
        <v>352</v>
      </c>
      <c r="B62" s="34" t="s">
        <v>353</v>
      </c>
      <c r="C62" s="34" t="s">
        <v>354</v>
      </c>
      <c r="D62" s="30">
        <v>1</v>
      </c>
      <c r="E62" s="31">
        <f>[1]일위대가목록!E47</f>
        <v>0</v>
      </c>
      <c r="F62" s="32">
        <f>TRUNC(E62*D62,1)</f>
        <v>0</v>
      </c>
      <c r="G62" s="31">
        <f>[1]일위대가목록!F47</f>
        <v>73253</v>
      </c>
      <c r="H62" s="32">
        <f>TRUNC(G62*D62,1)</f>
        <v>73253</v>
      </c>
      <c r="I62" s="31">
        <f>[1]일위대가목록!G47</f>
        <v>2197</v>
      </c>
      <c r="J62" s="32">
        <f>TRUNC(I62*D62,1)</f>
        <v>2197</v>
      </c>
      <c r="K62" s="31">
        <f>TRUNC(E62+G62+I62,1)</f>
        <v>75450</v>
      </c>
      <c r="L62" s="32">
        <f>TRUNC(F62+H62+J62,1)</f>
        <v>75450</v>
      </c>
      <c r="M62" s="34" t="s">
        <v>81</v>
      </c>
      <c r="N62" s="33" t="s">
        <v>347</v>
      </c>
      <c r="O62" s="33" t="s">
        <v>355</v>
      </c>
      <c r="P62" s="33" t="s">
        <v>138</v>
      </c>
      <c r="Q62" s="33" t="s">
        <v>137</v>
      </c>
      <c r="R62" s="33" t="s">
        <v>137</v>
      </c>
      <c r="AV62" s="33" t="s">
        <v>81</v>
      </c>
      <c r="AW62" s="33" t="s">
        <v>356</v>
      </c>
      <c r="AX62" s="33" t="s">
        <v>81</v>
      </c>
      <c r="AY62" s="33" t="s">
        <v>81</v>
      </c>
    </row>
    <row r="63" spans="1:51" ht="30" customHeight="1" x14ac:dyDescent="0.3">
      <c r="A63" s="34" t="s">
        <v>177</v>
      </c>
      <c r="B63" s="34" t="s">
        <v>81</v>
      </c>
      <c r="C63" s="34" t="s">
        <v>81</v>
      </c>
      <c r="D63" s="30"/>
      <c r="E63" s="31"/>
      <c r="F63" s="32">
        <f>TRUNC(SUMIF(N61:N62, N60, F61:F62),0)</f>
        <v>180000</v>
      </c>
      <c r="G63" s="31"/>
      <c r="H63" s="32">
        <f>TRUNC(SUMIF(N61:N62, N60, H61:H62),0)</f>
        <v>73253</v>
      </c>
      <c r="I63" s="31"/>
      <c r="J63" s="32">
        <f>TRUNC(SUMIF(N61:N62, N60, J61:J62),0)</f>
        <v>2197</v>
      </c>
      <c r="K63" s="31"/>
      <c r="L63" s="32">
        <f>F63+H63+J63</f>
        <v>255450</v>
      </c>
      <c r="M63" s="34" t="s">
        <v>81</v>
      </c>
      <c r="N63" s="33" t="s">
        <v>178</v>
      </c>
      <c r="O63" s="33" t="s">
        <v>178</v>
      </c>
      <c r="P63" s="33" t="s">
        <v>81</v>
      </c>
      <c r="Q63" s="33" t="s">
        <v>81</v>
      </c>
      <c r="R63" s="33" t="s">
        <v>81</v>
      </c>
      <c r="AV63" s="33" t="s">
        <v>81</v>
      </c>
      <c r="AW63" s="33" t="s">
        <v>81</v>
      </c>
      <c r="AX63" s="33" t="s">
        <v>81</v>
      </c>
      <c r="AY63" s="33" t="s">
        <v>81</v>
      </c>
    </row>
    <row r="64" spans="1:51" ht="30" customHeight="1" x14ac:dyDescent="0.3">
      <c r="A64" s="30"/>
      <c r="B64" s="30"/>
      <c r="C64" s="30"/>
      <c r="D64" s="30"/>
      <c r="E64" s="31"/>
      <c r="F64" s="32"/>
      <c r="G64" s="31"/>
      <c r="H64" s="32"/>
      <c r="I64" s="31"/>
      <c r="J64" s="32"/>
      <c r="K64" s="31"/>
      <c r="L64" s="32"/>
      <c r="M64" s="30"/>
    </row>
    <row r="65" spans="1:51" ht="30" customHeight="1" x14ac:dyDescent="0.3">
      <c r="A65" s="266" t="s">
        <v>357</v>
      </c>
      <c r="B65" s="266"/>
      <c r="C65" s="266"/>
      <c r="D65" s="266"/>
      <c r="E65" s="267"/>
      <c r="F65" s="268"/>
      <c r="G65" s="267"/>
      <c r="H65" s="268"/>
      <c r="I65" s="267"/>
      <c r="J65" s="268"/>
      <c r="K65" s="267"/>
      <c r="L65" s="268"/>
      <c r="M65" s="266"/>
      <c r="N65" s="33" t="s">
        <v>358</v>
      </c>
    </row>
    <row r="66" spans="1:51" ht="30" customHeight="1" x14ac:dyDescent="0.3">
      <c r="A66" s="34" t="s">
        <v>40</v>
      </c>
      <c r="B66" s="34" t="s">
        <v>168</v>
      </c>
      <c r="C66" s="34" t="s">
        <v>3</v>
      </c>
      <c r="D66" s="30">
        <v>9.6000000000000002E-2</v>
      </c>
      <c r="E66" s="31">
        <f>[1]단가대비표!O58</f>
        <v>0</v>
      </c>
      <c r="F66" s="32">
        <f>TRUNC(E66*D66,1)</f>
        <v>0</v>
      </c>
      <c r="G66" s="31">
        <f>[1]단가대비표!P58</f>
        <v>205617</v>
      </c>
      <c r="H66" s="32">
        <f>TRUNC(G66*D66,1)</f>
        <v>19739.2</v>
      </c>
      <c r="I66" s="31">
        <f>[1]단가대비표!V58</f>
        <v>0</v>
      </c>
      <c r="J66" s="32">
        <f>TRUNC(I66*D66,1)</f>
        <v>0</v>
      </c>
      <c r="K66" s="31">
        <f t="shared" ref="K66:L68" si="5">TRUNC(E66+G66+I66,1)</f>
        <v>205617</v>
      </c>
      <c r="L66" s="32">
        <f t="shared" si="5"/>
        <v>19739.2</v>
      </c>
      <c r="M66" s="34" t="s">
        <v>81</v>
      </c>
      <c r="N66" s="33" t="s">
        <v>358</v>
      </c>
      <c r="O66" s="33" t="s">
        <v>359</v>
      </c>
      <c r="P66" s="33" t="s">
        <v>137</v>
      </c>
      <c r="Q66" s="33" t="s">
        <v>137</v>
      </c>
      <c r="R66" s="33" t="s">
        <v>138</v>
      </c>
      <c r="V66">
        <v>1</v>
      </c>
      <c r="AV66" s="33" t="s">
        <v>81</v>
      </c>
      <c r="AW66" s="33" t="s">
        <v>360</v>
      </c>
      <c r="AX66" s="33" t="s">
        <v>81</v>
      </c>
      <c r="AY66" s="33" t="s">
        <v>81</v>
      </c>
    </row>
    <row r="67" spans="1:51" ht="30" customHeight="1" x14ac:dyDescent="0.3">
      <c r="A67" s="34" t="s">
        <v>4</v>
      </c>
      <c r="B67" s="34" t="s">
        <v>168</v>
      </c>
      <c r="C67" s="34" t="s">
        <v>3</v>
      </c>
      <c r="D67" s="30">
        <v>4.8000000000000001E-2</v>
      </c>
      <c r="E67" s="31">
        <f>[1]단가대비표!O55</f>
        <v>0</v>
      </c>
      <c r="F67" s="32">
        <f>TRUNC(E67*D67,1)</f>
        <v>0</v>
      </c>
      <c r="G67" s="31">
        <f>[1]단가대비표!P55</f>
        <v>138989</v>
      </c>
      <c r="H67" s="32">
        <f>TRUNC(G67*D67,1)</f>
        <v>6671.4</v>
      </c>
      <c r="I67" s="31">
        <f>[1]단가대비표!V55</f>
        <v>0</v>
      </c>
      <c r="J67" s="32">
        <f>TRUNC(I67*D67,1)</f>
        <v>0</v>
      </c>
      <c r="K67" s="31">
        <f t="shared" si="5"/>
        <v>138989</v>
      </c>
      <c r="L67" s="32">
        <f t="shared" si="5"/>
        <v>6671.4</v>
      </c>
      <c r="M67" s="34" t="s">
        <v>81</v>
      </c>
      <c r="N67" s="33" t="s">
        <v>358</v>
      </c>
      <c r="O67" s="33" t="s">
        <v>171</v>
      </c>
      <c r="P67" s="33" t="s">
        <v>137</v>
      </c>
      <c r="Q67" s="33" t="s">
        <v>137</v>
      </c>
      <c r="R67" s="33" t="s">
        <v>138</v>
      </c>
      <c r="V67">
        <v>1</v>
      </c>
      <c r="AV67" s="33" t="s">
        <v>81</v>
      </c>
      <c r="AW67" s="33" t="s">
        <v>361</v>
      </c>
      <c r="AX67" s="33" t="s">
        <v>81</v>
      </c>
      <c r="AY67" s="33" t="s">
        <v>81</v>
      </c>
    </row>
    <row r="68" spans="1:51" ht="30" customHeight="1" x14ac:dyDescent="0.3">
      <c r="A68" s="34" t="s">
        <v>19</v>
      </c>
      <c r="B68" s="34" t="s">
        <v>362</v>
      </c>
      <c r="C68" s="34" t="s">
        <v>5</v>
      </c>
      <c r="D68" s="30">
        <v>1</v>
      </c>
      <c r="E68" s="31">
        <v>0</v>
      </c>
      <c r="F68" s="32">
        <f>TRUNC(E68*D68,1)</f>
        <v>0</v>
      </c>
      <c r="G68" s="31">
        <v>0</v>
      </c>
      <c r="H68" s="32">
        <f>TRUNC(G68*D68,1)</f>
        <v>0</v>
      </c>
      <c r="I68" s="31">
        <f>TRUNC(SUMIF(V66:V68, RIGHTB(O68, 1), H66:H68)*U68, 2)</f>
        <v>528.21</v>
      </c>
      <c r="J68" s="32">
        <f>TRUNC(I68*D68,1)</f>
        <v>528.20000000000005</v>
      </c>
      <c r="K68" s="31">
        <f t="shared" si="5"/>
        <v>528.20000000000005</v>
      </c>
      <c r="L68" s="32">
        <f t="shared" si="5"/>
        <v>528.20000000000005</v>
      </c>
      <c r="M68" s="34" t="s">
        <v>81</v>
      </c>
      <c r="N68" s="33" t="s">
        <v>358</v>
      </c>
      <c r="O68" s="33" t="s">
        <v>173</v>
      </c>
      <c r="P68" s="33" t="s">
        <v>137</v>
      </c>
      <c r="Q68" s="33" t="s">
        <v>137</v>
      </c>
      <c r="R68" s="33" t="s">
        <v>137</v>
      </c>
      <c r="S68">
        <v>1</v>
      </c>
      <c r="T68">
        <v>2</v>
      </c>
      <c r="U68">
        <v>0.02</v>
      </c>
      <c r="AV68" s="33" t="s">
        <v>81</v>
      </c>
      <c r="AW68" s="33" t="s">
        <v>363</v>
      </c>
      <c r="AX68" s="33" t="s">
        <v>81</v>
      </c>
      <c r="AY68" s="33" t="s">
        <v>81</v>
      </c>
    </row>
    <row r="69" spans="1:51" ht="30" customHeight="1" x14ac:dyDescent="0.3">
      <c r="A69" s="34" t="s">
        <v>177</v>
      </c>
      <c r="B69" s="34" t="s">
        <v>81</v>
      </c>
      <c r="C69" s="34" t="s">
        <v>81</v>
      </c>
      <c r="D69" s="30"/>
      <c r="E69" s="31"/>
      <c r="F69" s="32">
        <f>TRUNC(SUMIF(N66:N68, N65, F66:F68),0)</f>
        <v>0</v>
      </c>
      <c r="G69" s="31"/>
      <c r="H69" s="32">
        <f>TRUNC(SUMIF(N66:N68, N65, H66:H68),0)</f>
        <v>26410</v>
      </c>
      <c r="I69" s="31"/>
      <c r="J69" s="32">
        <f>TRUNC(SUMIF(N66:N68, N65, J66:J68),0)</f>
        <v>528</v>
      </c>
      <c r="K69" s="31"/>
      <c r="L69" s="32">
        <f>F69+H69+J69</f>
        <v>26938</v>
      </c>
      <c r="M69" s="34" t="s">
        <v>81</v>
      </c>
      <c r="N69" s="33" t="s">
        <v>178</v>
      </c>
      <c r="O69" s="33" t="s">
        <v>178</v>
      </c>
      <c r="P69" s="33" t="s">
        <v>81</v>
      </c>
      <c r="Q69" s="33" t="s">
        <v>81</v>
      </c>
      <c r="R69" s="33" t="s">
        <v>81</v>
      </c>
      <c r="AV69" s="33" t="s">
        <v>81</v>
      </c>
      <c r="AW69" s="33" t="s">
        <v>81</v>
      </c>
      <c r="AX69" s="33" t="s">
        <v>81</v>
      </c>
      <c r="AY69" s="33" t="s">
        <v>81</v>
      </c>
    </row>
    <row r="70" spans="1:51" ht="30" customHeight="1" x14ac:dyDescent="0.3">
      <c r="A70" s="30"/>
      <c r="B70" s="30"/>
      <c r="C70" s="30"/>
      <c r="D70" s="30"/>
      <c r="E70" s="31"/>
      <c r="F70" s="32"/>
      <c r="G70" s="31"/>
      <c r="H70" s="32"/>
      <c r="I70" s="31"/>
      <c r="J70" s="32"/>
      <c r="K70" s="31"/>
      <c r="L70" s="32"/>
      <c r="M70" s="30"/>
    </row>
    <row r="71" spans="1:51" ht="30" customHeight="1" x14ac:dyDescent="0.3">
      <c r="A71" s="266" t="s">
        <v>364</v>
      </c>
      <c r="B71" s="266"/>
      <c r="C71" s="266"/>
      <c r="D71" s="266"/>
      <c r="E71" s="267"/>
      <c r="F71" s="268"/>
      <c r="G71" s="267"/>
      <c r="H71" s="268"/>
      <c r="I71" s="267"/>
      <c r="J71" s="268"/>
      <c r="K71" s="267"/>
      <c r="L71" s="268"/>
      <c r="M71" s="266"/>
      <c r="N71" s="33" t="s">
        <v>365</v>
      </c>
    </row>
    <row r="72" spans="1:51" ht="30" customHeight="1" x14ac:dyDescent="0.3">
      <c r="A72" s="34" t="s">
        <v>40</v>
      </c>
      <c r="B72" s="34" t="s">
        <v>168</v>
      </c>
      <c r="C72" s="34" t="s">
        <v>3</v>
      </c>
      <c r="D72" s="30">
        <v>3.1E-2</v>
      </c>
      <c r="E72" s="31">
        <f>[1]단가대비표!O58</f>
        <v>0</v>
      </c>
      <c r="F72" s="32">
        <f>TRUNC(E72*D72,1)</f>
        <v>0</v>
      </c>
      <c r="G72" s="31">
        <f>[1]단가대비표!P58</f>
        <v>205617</v>
      </c>
      <c r="H72" s="32">
        <f>TRUNC(G72*D72,1)</f>
        <v>6374.1</v>
      </c>
      <c r="I72" s="31">
        <f>[1]단가대비표!V58</f>
        <v>0</v>
      </c>
      <c r="J72" s="32">
        <f>TRUNC(I72*D72,1)</f>
        <v>0</v>
      </c>
      <c r="K72" s="31">
        <f>TRUNC(E72+G72+I72,1)</f>
        <v>205617</v>
      </c>
      <c r="L72" s="32">
        <f>TRUNC(F72+H72+J72,1)</f>
        <v>6374.1</v>
      </c>
      <c r="M72" s="34" t="s">
        <v>81</v>
      </c>
      <c r="N72" s="33" t="s">
        <v>365</v>
      </c>
      <c r="O72" s="33" t="s">
        <v>359</v>
      </c>
      <c r="P72" s="33" t="s">
        <v>137</v>
      </c>
      <c r="Q72" s="33" t="s">
        <v>137</v>
      </c>
      <c r="R72" s="33" t="s">
        <v>138</v>
      </c>
      <c r="V72">
        <v>1</v>
      </c>
      <c r="AV72" s="33" t="s">
        <v>81</v>
      </c>
      <c r="AW72" s="33" t="s">
        <v>366</v>
      </c>
      <c r="AX72" s="33" t="s">
        <v>81</v>
      </c>
      <c r="AY72" s="33" t="s">
        <v>81</v>
      </c>
    </row>
    <row r="73" spans="1:51" ht="30" customHeight="1" x14ac:dyDescent="0.3">
      <c r="A73" s="34" t="s">
        <v>19</v>
      </c>
      <c r="B73" s="34" t="s">
        <v>367</v>
      </c>
      <c r="C73" s="34" t="s">
        <v>5</v>
      </c>
      <c r="D73" s="30">
        <v>1</v>
      </c>
      <c r="E73" s="31">
        <v>0</v>
      </c>
      <c r="F73" s="32">
        <f>TRUNC(E73*D73,1)</f>
        <v>0</v>
      </c>
      <c r="G73" s="31">
        <v>0</v>
      </c>
      <c r="H73" s="32">
        <f>TRUNC(G73*D73,1)</f>
        <v>0</v>
      </c>
      <c r="I73" s="31">
        <f>TRUNC(SUMIF(V72:V73, RIGHTB(O73, 1), H72:H73)*U73, 2)</f>
        <v>254.96</v>
      </c>
      <c r="J73" s="32">
        <f>TRUNC(I73*D73,1)</f>
        <v>254.9</v>
      </c>
      <c r="K73" s="31">
        <f>TRUNC(E73+G73+I73,1)</f>
        <v>254.9</v>
      </c>
      <c r="L73" s="32">
        <f>TRUNC(F73+H73+J73,1)</f>
        <v>254.9</v>
      </c>
      <c r="M73" s="34" t="s">
        <v>81</v>
      </c>
      <c r="N73" s="33" t="s">
        <v>365</v>
      </c>
      <c r="O73" s="33" t="s">
        <v>173</v>
      </c>
      <c r="P73" s="33" t="s">
        <v>137</v>
      </c>
      <c r="Q73" s="33" t="s">
        <v>137</v>
      </c>
      <c r="R73" s="33" t="s">
        <v>137</v>
      </c>
      <c r="S73">
        <v>1</v>
      </c>
      <c r="T73">
        <v>2</v>
      </c>
      <c r="U73">
        <v>0.04</v>
      </c>
      <c r="AV73" s="33" t="s">
        <v>81</v>
      </c>
      <c r="AW73" s="33" t="s">
        <v>368</v>
      </c>
      <c r="AX73" s="33" t="s">
        <v>81</v>
      </c>
      <c r="AY73" s="33" t="s">
        <v>81</v>
      </c>
    </row>
    <row r="74" spans="1:51" ht="30" customHeight="1" x14ac:dyDescent="0.3">
      <c r="A74" s="34" t="s">
        <v>177</v>
      </c>
      <c r="B74" s="34" t="s">
        <v>81</v>
      </c>
      <c r="C74" s="34" t="s">
        <v>81</v>
      </c>
      <c r="D74" s="30"/>
      <c r="E74" s="31"/>
      <c r="F74" s="32">
        <f>TRUNC(SUMIF(N72:N73, N71, F72:F73),0)</f>
        <v>0</v>
      </c>
      <c r="G74" s="31"/>
      <c r="H74" s="32">
        <f>TRUNC(SUMIF(N72:N73, N71, H72:H73),0)</f>
        <v>6374</v>
      </c>
      <c r="I74" s="31"/>
      <c r="J74" s="32">
        <f>TRUNC(SUMIF(N72:N73, N71, J72:J73),0)</f>
        <v>254</v>
      </c>
      <c r="K74" s="31"/>
      <c r="L74" s="32">
        <f>F74+H74+J74</f>
        <v>6628</v>
      </c>
      <c r="M74" s="34" t="s">
        <v>81</v>
      </c>
      <c r="N74" s="33" t="s">
        <v>178</v>
      </c>
      <c r="O74" s="33" t="s">
        <v>178</v>
      </c>
      <c r="P74" s="33" t="s">
        <v>81</v>
      </c>
      <c r="Q74" s="33" t="s">
        <v>81</v>
      </c>
      <c r="R74" s="33" t="s">
        <v>81</v>
      </c>
      <c r="AV74" s="33" t="s">
        <v>81</v>
      </c>
      <c r="AW74" s="33" t="s">
        <v>81</v>
      </c>
      <c r="AX74" s="33" t="s">
        <v>81</v>
      </c>
      <c r="AY74" s="33" t="s">
        <v>81</v>
      </c>
    </row>
    <row r="75" spans="1:51" ht="30" customHeight="1" x14ac:dyDescent="0.3">
      <c r="A75" s="30"/>
      <c r="B75" s="30"/>
      <c r="C75" s="30"/>
      <c r="D75" s="30"/>
      <c r="E75" s="31"/>
      <c r="F75" s="32"/>
      <c r="G75" s="31"/>
      <c r="H75" s="32"/>
      <c r="I75" s="31"/>
      <c r="J75" s="32"/>
      <c r="K75" s="31"/>
      <c r="L75" s="32"/>
      <c r="M75" s="30"/>
    </row>
    <row r="76" spans="1:51" ht="30" customHeight="1" x14ac:dyDescent="0.3">
      <c r="A76" s="266" t="s">
        <v>369</v>
      </c>
      <c r="B76" s="266"/>
      <c r="C76" s="266"/>
      <c r="D76" s="266"/>
      <c r="E76" s="267"/>
      <c r="F76" s="268"/>
      <c r="G76" s="267"/>
      <c r="H76" s="268"/>
      <c r="I76" s="267"/>
      <c r="J76" s="268"/>
      <c r="K76" s="267"/>
      <c r="L76" s="268"/>
      <c r="M76" s="266"/>
      <c r="N76" s="33" t="s">
        <v>370</v>
      </c>
    </row>
    <row r="77" spans="1:51" ht="30" customHeight="1" x14ac:dyDescent="0.3">
      <c r="A77" s="34" t="s">
        <v>371</v>
      </c>
      <c r="B77" s="34" t="s">
        <v>372</v>
      </c>
      <c r="C77" s="34" t="s">
        <v>373</v>
      </c>
      <c r="D77" s="30">
        <v>0.06</v>
      </c>
      <c r="E77" s="31">
        <f>[1]단가대비표!O49</f>
        <v>9433</v>
      </c>
      <c r="F77" s="32">
        <f>TRUNC(E77*D77,1)</f>
        <v>565.9</v>
      </c>
      <c r="G77" s="31">
        <f>[1]단가대비표!P49</f>
        <v>0</v>
      </c>
      <c r="H77" s="32">
        <f>TRUNC(G77*D77,1)</f>
        <v>0</v>
      </c>
      <c r="I77" s="31">
        <f>[1]단가대비표!V49</f>
        <v>0</v>
      </c>
      <c r="J77" s="32">
        <f>TRUNC(I77*D77,1)</f>
        <v>0</v>
      </c>
      <c r="K77" s="31">
        <f>TRUNC(E77+G77+I77,1)</f>
        <v>9433</v>
      </c>
      <c r="L77" s="32">
        <f>TRUNC(F77+H77+J77,1)</f>
        <v>565.9</v>
      </c>
      <c r="M77" s="34" t="s">
        <v>81</v>
      </c>
      <c r="N77" s="33" t="s">
        <v>370</v>
      </c>
      <c r="O77" s="33" t="s">
        <v>374</v>
      </c>
      <c r="P77" s="33" t="s">
        <v>137</v>
      </c>
      <c r="Q77" s="33" t="s">
        <v>137</v>
      </c>
      <c r="R77" s="33" t="s">
        <v>138</v>
      </c>
      <c r="AV77" s="33" t="s">
        <v>81</v>
      </c>
      <c r="AW77" s="33" t="s">
        <v>375</v>
      </c>
      <c r="AX77" s="33" t="s">
        <v>81</v>
      </c>
      <c r="AY77" s="33" t="s">
        <v>81</v>
      </c>
    </row>
    <row r="78" spans="1:51" ht="30" customHeight="1" x14ac:dyDescent="0.3">
      <c r="A78" s="34" t="s">
        <v>376</v>
      </c>
      <c r="B78" s="34" t="s">
        <v>377</v>
      </c>
      <c r="C78" s="34" t="s">
        <v>132</v>
      </c>
      <c r="D78" s="30">
        <v>1</v>
      </c>
      <c r="E78" s="31">
        <f>[1]일위대가목록!E48</f>
        <v>0</v>
      </c>
      <c r="F78" s="32">
        <f>TRUNC(E78*D78,1)</f>
        <v>0</v>
      </c>
      <c r="G78" s="31">
        <f>[1]일위대가목록!F48</f>
        <v>4542</v>
      </c>
      <c r="H78" s="32">
        <f>TRUNC(G78*D78,1)</f>
        <v>4542</v>
      </c>
      <c r="I78" s="31">
        <f>[1]일위대가목록!G48</f>
        <v>0</v>
      </c>
      <c r="J78" s="32">
        <f>TRUNC(I78*D78,1)</f>
        <v>0</v>
      </c>
      <c r="K78" s="31">
        <f>TRUNC(E78+G78+I78,1)</f>
        <v>4542</v>
      </c>
      <c r="L78" s="32">
        <f>TRUNC(F78+H78+J78,1)</f>
        <v>4542</v>
      </c>
      <c r="M78" s="34" t="s">
        <v>81</v>
      </c>
      <c r="N78" s="33" t="s">
        <v>370</v>
      </c>
      <c r="O78" s="33" t="s">
        <v>378</v>
      </c>
      <c r="P78" s="33" t="s">
        <v>138</v>
      </c>
      <c r="Q78" s="33" t="s">
        <v>137</v>
      </c>
      <c r="R78" s="33" t="s">
        <v>137</v>
      </c>
      <c r="AV78" s="33" t="s">
        <v>81</v>
      </c>
      <c r="AW78" s="33" t="s">
        <v>379</v>
      </c>
      <c r="AX78" s="33" t="s">
        <v>81</v>
      </c>
      <c r="AY78" s="33" t="s">
        <v>81</v>
      </c>
    </row>
    <row r="79" spans="1:51" ht="30" customHeight="1" x14ac:dyDescent="0.3">
      <c r="A79" s="34" t="s">
        <v>177</v>
      </c>
      <c r="B79" s="34" t="s">
        <v>81</v>
      </c>
      <c r="C79" s="34" t="s">
        <v>81</v>
      </c>
      <c r="D79" s="30"/>
      <c r="E79" s="31"/>
      <c r="F79" s="32">
        <f>TRUNC(SUMIF(N77:N78, N76, F77:F78),0)</f>
        <v>565</v>
      </c>
      <c r="G79" s="31"/>
      <c r="H79" s="32">
        <f>TRUNC(SUMIF(N77:N78, N76, H77:H78),0)</f>
        <v>4542</v>
      </c>
      <c r="I79" s="31"/>
      <c r="J79" s="32">
        <f>TRUNC(SUMIF(N77:N78, N76, J77:J78),0)</f>
        <v>0</v>
      </c>
      <c r="K79" s="31"/>
      <c r="L79" s="32">
        <f>F79+H79+J79</f>
        <v>5107</v>
      </c>
      <c r="M79" s="34" t="s">
        <v>81</v>
      </c>
      <c r="N79" s="33" t="s">
        <v>178</v>
      </c>
      <c r="O79" s="33" t="s">
        <v>178</v>
      </c>
      <c r="P79" s="33" t="s">
        <v>81</v>
      </c>
      <c r="Q79" s="33" t="s">
        <v>81</v>
      </c>
      <c r="R79" s="33" t="s">
        <v>81</v>
      </c>
      <c r="AV79" s="33" t="s">
        <v>81</v>
      </c>
      <c r="AW79" s="33" t="s">
        <v>81</v>
      </c>
      <c r="AX79" s="33" t="s">
        <v>81</v>
      </c>
      <c r="AY79" s="33" t="s">
        <v>81</v>
      </c>
    </row>
    <row r="80" spans="1:51" ht="30" customHeight="1" x14ac:dyDescent="0.3">
      <c r="A80" s="30"/>
      <c r="B80" s="30"/>
      <c r="C80" s="30"/>
      <c r="D80" s="30"/>
      <c r="E80" s="31"/>
      <c r="F80" s="32"/>
      <c r="G80" s="31"/>
      <c r="H80" s="32"/>
      <c r="I80" s="31"/>
      <c r="J80" s="32"/>
      <c r="K80" s="31"/>
      <c r="L80" s="32"/>
      <c r="M80" s="30"/>
    </row>
    <row r="81" spans="1:51" ht="30" customHeight="1" x14ac:dyDescent="0.3">
      <c r="A81" s="266" t="s">
        <v>380</v>
      </c>
      <c r="B81" s="266"/>
      <c r="C81" s="266"/>
      <c r="D81" s="266"/>
      <c r="E81" s="267"/>
      <c r="F81" s="268"/>
      <c r="G81" s="267"/>
      <c r="H81" s="268"/>
      <c r="I81" s="267"/>
      <c r="J81" s="268"/>
      <c r="K81" s="267"/>
      <c r="L81" s="268"/>
      <c r="M81" s="266"/>
      <c r="N81" s="33" t="s">
        <v>381</v>
      </c>
    </row>
    <row r="82" spans="1:51" ht="30" customHeight="1" x14ac:dyDescent="0.3">
      <c r="A82" s="34" t="s">
        <v>382</v>
      </c>
      <c r="B82" s="34" t="s">
        <v>383</v>
      </c>
      <c r="C82" s="34" t="s">
        <v>16</v>
      </c>
      <c r="D82" s="30">
        <v>1</v>
      </c>
      <c r="E82" s="31">
        <f>[1]일위대가목록!E49</f>
        <v>1022</v>
      </c>
      <c r="F82" s="32">
        <f>TRUNC(E82*D82,1)</f>
        <v>1022</v>
      </c>
      <c r="G82" s="31">
        <f>[1]일위대가목록!F49</f>
        <v>15727</v>
      </c>
      <c r="H82" s="32">
        <f>TRUNC(G82*D82,1)</f>
        <v>15727</v>
      </c>
      <c r="I82" s="31">
        <f>[1]일위대가목록!G49</f>
        <v>314</v>
      </c>
      <c r="J82" s="32">
        <f>TRUNC(I82*D82,1)</f>
        <v>314</v>
      </c>
      <c r="K82" s="31">
        <f t="shared" ref="K82:L84" si="6">TRUNC(E82+G82+I82,1)</f>
        <v>17063</v>
      </c>
      <c r="L82" s="32">
        <f t="shared" si="6"/>
        <v>17063</v>
      </c>
      <c r="M82" s="34" t="s">
        <v>81</v>
      </c>
      <c r="N82" s="33" t="s">
        <v>381</v>
      </c>
      <c r="O82" s="33" t="s">
        <v>384</v>
      </c>
      <c r="P82" s="33" t="s">
        <v>138</v>
      </c>
      <c r="Q82" s="33" t="s">
        <v>137</v>
      </c>
      <c r="R82" s="33" t="s">
        <v>137</v>
      </c>
      <c r="AV82" s="33" t="s">
        <v>81</v>
      </c>
      <c r="AW82" s="33" t="s">
        <v>385</v>
      </c>
      <c r="AX82" s="33" t="s">
        <v>81</v>
      </c>
      <c r="AY82" s="33" t="s">
        <v>81</v>
      </c>
    </row>
    <row r="83" spans="1:51" ht="30" customHeight="1" x14ac:dyDescent="0.3">
      <c r="A83" s="34" t="s">
        <v>386</v>
      </c>
      <c r="B83" s="34" t="s">
        <v>387</v>
      </c>
      <c r="C83" s="34" t="s">
        <v>16</v>
      </c>
      <c r="D83" s="30">
        <v>1</v>
      </c>
      <c r="E83" s="31">
        <f>[1]일위대가목록!E50</f>
        <v>1515</v>
      </c>
      <c r="F83" s="32">
        <f>TRUNC(E83*D83,1)</f>
        <v>1515</v>
      </c>
      <c r="G83" s="31">
        <f>[1]일위대가목록!F50</f>
        <v>0</v>
      </c>
      <c r="H83" s="32">
        <f>TRUNC(G83*D83,1)</f>
        <v>0</v>
      </c>
      <c r="I83" s="31">
        <f>[1]일위대가목록!G50</f>
        <v>0</v>
      </c>
      <c r="J83" s="32">
        <f>TRUNC(I83*D83,1)</f>
        <v>0</v>
      </c>
      <c r="K83" s="31">
        <f t="shared" si="6"/>
        <v>1515</v>
      </c>
      <c r="L83" s="32">
        <f t="shared" si="6"/>
        <v>1515</v>
      </c>
      <c r="M83" s="34" t="s">
        <v>81</v>
      </c>
      <c r="N83" s="33" t="s">
        <v>381</v>
      </c>
      <c r="O83" s="33" t="s">
        <v>388</v>
      </c>
      <c r="P83" s="33" t="s">
        <v>138</v>
      </c>
      <c r="Q83" s="33" t="s">
        <v>137</v>
      </c>
      <c r="R83" s="33" t="s">
        <v>137</v>
      </c>
      <c r="AV83" s="33" t="s">
        <v>81</v>
      </c>
      <c r="AW83" s="33" t="s">
        <v>389</v>
      </c>
      <c r="AX83" s="33" t="s">
        <v>81</v>
      </c>
      <c r="AY83" s="33" t="s">
        <v>81</v>
      </c>
    </row>
    <row r="84" spans="1:51" ht="30" customHeight="1" x14ac:dyDescent="0.3">
      <c r="A84" s="34" t="s">
        <v>386</v>
      </c>
      <c r="B84" s="34" t="s">
        <v>390</v>
      </c>
      <c r="C84" s="34" t="s">
        <v>16</v>
      </c>
      <c r="D84" s="30">
        <v>1</v>
      </c>
      <c r="E84" s="31">
        <f>[1]일위대가목록!E51</f>
        <v>0</v>
      </c>
      <c r="F84" s="32">
        <f>TRUNC(E84*D84,1)</f>
        <v>0</v>
      </c>
      <c r="G84" s="31">
        <f>[1]일위대가목록!F51</f>
        <v>1443</v>
      </c>
      <c r="H84" s="32">
        <f>TRUNC(G84*D84,1)</f>
        <v>1443</v>
      </c>
      <c r="I84" s="31">
        <f>[1]일위대가목록!G51</f>
        <v>129</v>
      </c>
      <c r="J84" s="32">
        <f>TRUNC(I84*D84,1)</f>
        <v>129</v>
      </c>
      <c r="K84" s="31">
        <f t="shared" si="6"/>
        <v>1572</v>
      </c>
      <c r="L84" s="32">
        <f t="shared" si="6"/>
        <v>1572</v>
      </c>
      <c r="M84" s="34" t="s">
        <v>81</v>
      </c>
      <c r="N84" s="33" t="s">
        <v>381</v>
      </c>
      <c r="O84" s="33" t="s">
        <v>391</v>
      </c>
      <c r="P84" s="33" t="s">
        <v>138</v>
      </c>
      <c r="Q84" s="33" t="s">
        <v>137</v>
      </c>
      <c r="R84" s="33" t="s">
        <v>137</v>
      </c>
      <c r="AV84" s="33" t="s">
        <v>81</v>
      </c>
      <c r="AW84" s="33" t="s">
        <v>392</v>
      </c>
      <c r="AX84" s="33" t="s">
        <v>81</v>
      </c>
      <c r="AY84" s="33" t="s">
        <v>81</v>
      </c>
    </row>
    <row r="85" spans="1:51" ht="30" customHeight="1" x14ac:dyDescent="0.3">
      <c r="A85" s="34" t="s">
        <v>177</v>
      </c>
      <c r="B85" s="34" t="s">
        <v>81</v>
      </c>
      <c r="C85" s="34" t="s">
        <v>81</v>
      </c>
      <c r="D85" s="30"/>
      <c r="E85" s="31"/>
      <c r="F85" s="32">
        <f>TRUNC(SUMIF(N82:N84, N81, F82:F84),0)</f>
        <v>2537</v>
      </c>
      <c r="G85" s="31"/>
      <c r="H85" s="32">
        <f>TRUNC(SUMIF(N82:N84, N81, H82:H84),0)</f>
        <v>17170</v>
      </c>
      <c r="I85" s="31"/>
      <c r="J85" s="32">
        <f>TRUNC(SUMIF(N82:N84, N81, J82:J84),0)</f>
        <v>443</v>
      </c>
      <c r="K85" s="31"/>
      <c r="L85" s="32">
        <f>F85+H85+J85</f>
        <v>20150</v>
      </c>
      <c r="M85" s="34" t="s">
        <v>81</v>
      </c>
      <c r="N85" s="33" t="s">
        <v>178</v>
      </c>
      <c r="O85" s="33" t="s">
        <v>178</v>
      </c>
      <c r="P85" s="33" t="s">
        <v>81</v>
      </c>
      <c r="Q85" s="33" t="s">
        <v>81</v>
      </c>
      <c r="R85" s="33" t="s">
        <v>81</v>
      </c>
      <c r="AV85" s="33" t="s">
        <v>81</v>
      </c>
      <c r="AW85" s="33" t="s">
        <v>81</v>
      </c>
      <c r="AX85" s="33" t="s">
        <v>81</v>
      </c>
      <c r="AY85" s="33" t="s">
        <v>81</v>
      </c>
    </row>
    <row r="86" spans="1:51" ht="30" customHeight="1" x14ac:dyDescent="0.3">
      <c r="A86" s="30"/>
      <c r="B86" s="30"/>
      <c r="C86" s="30"/>
      <c r="D86" s="30"/>
      <c r="E86" s="31"/>
      <c r="F86" s="32"/>
      <c r="G86" s="31"/>
      <c r="H86" s="32"/>
      <c r="I86" s="31"/>
      <c r="J86" s="32"/>
      <c r="K86" s="31"/>
      <c r="L86" s="32"/>
      <c r="M86" s="30"/>
    </row>
    <row r="87" spans="1:51" ht="30" customHeight="1" x14ac:dyDescent="0.3">
      <c r="A87" s="266" t="s">
        <v>393</v>
      </c>
      <c r="B87" s="266"/>
      <c r="C87" s="266"/>
      <c r="D87" s="266"/>
      <c r="E87" s="267"/>
      <c r="F87" s="268"/>
      <c r="G87" s="267"/>
      <c r="H87" s="268"/>
      <c r="I87" s="267"/>
      <c r="J87" s="268"/>
      <c r="K87" s="267"/>
      <c r="L87" s="268"/>
      <c r="M87" s="266"/>
      <c r="N87" s="33" t="s">
        <v>394</v>
      </c>
    </row>
    <row r="88" spans="1:51" ht="30" customHeight="1" x14ac:dyDescent="0.3">
      <c r="A88" s="34" t="s">
        <v>242</v>
      </c>
      <c r="B88" s="34" t="s">
        <v>387</v>
      </c>
      <c r="C88" s="34" t="s">
        <v>16</v>
      </c>
      <c r="D88" s="30">
        <v>1</v>
      </c>
      <c r="E88" s="31">
        <f>[1]일위대가목록!E52</f>
        <v>1165</v>
      </c>
      <c r="F88" s="32">
        <f>TRUNC(E88*D88,1)</f>
        <v>1165</v>
      </c>
      <c r="G88" s="31">
        <f>[1]일위대가목록!F52</f>
        <v>0</v>
      </c>
      <c r="H88" s="32">
        <f>TRUNC(G88*D88,1)</f>
        <v>0</v>
      </c>
      <c r="I88" s="31">
        <f>[1]일위대가목록!G52</f>
        <v>0</v>
      </c>
      <c r="J88" s="32">
        <f>TRUNC(I88*D88,1)</f>
        <v>0</v>
      </c>
      <c r="K88" s="31">
        <f>TRUNC(E88+G88+I88,1)</f>
        <v>1165</v>
      </c>
      <c r="L88" s="32">
        <f>TRUNC(F88+H88+J88,1)</f>
        <v>1165</v>
      </c>
      <c r="M88" s="34" t="s">
        <v>81</v>
      </c>
      <c r="N88" s="33" t="s">
        <v>394</v>
      </c>
      <c r="O88" s="33" t="s">
        <v>395</v>
      </c>
      <c r="P88" s="33" t="s">
        <v>138</v>
      </c>
      <c r="Q88" s="33" t="s">
        <v>137</v>
      </c>
      <c r="R88" s="33" t="s">
        <v>137</v>
      </c>
      <c r="AV88" s="33" t="s">
        <v>81</v>
      </c>
      <c r="AW88" s="33" t="s">
        <v>396</v>
      </c>
      <c r="AX88" s="33" t="s">
        <v>81</v>
      </c>
      <c r="AY88" s="33" t="s">
        <v>81</v>
      </c>
    </row>
    <row r="89" spans="1:51" ht="30" customHeight="1" x14ac:dyDescent="0.3">
      <c r="A89" s="34" t="s">
        <v>242</v>
      </c>
      <c r="B89" s="34" t="s">
        <v>397</v>
      </c>
      <c r="C89" s="34" t="s">
        <v>16</v>
      </c>
      <c r="D89" s="30">
        <v>1</v>
      </c>
      <c r="E89" s="31">
        <f>[1]일위대가목록!E53</f>
        <v>0</v>
      </c>
      <c r="F89" s="32">
        <f>TRUNC(E89*D89,1)</f>
        <v>0</v>
      </c>
      <c r="G89" s="31">
        <f>[1]일위대가목록!F53</f>
        <v>6438</v>
      </c>
      <c r="H89" s="32">
        <f>TRUNC(G89*D89,1)</f>
        <v>6438</v>
      </c>
      <c r="I89" s="31">
        <f>[1]일위대가목록!G53</f>
        <v>0</v>
      </c>
      <c r="J89" s="32">
        <f>TRUNC(I89*D89,1)</f>
        <v>0</v>
      </c>
      <c r="K89" s="31">
        <f>TRUNC(E89+G89+I89,1)</f>
        <v>6438</v>
      </c>
      <c r="L89" s="32">
        <f>TRUNC(F89+H89+J89,1)</f>
        <v>6438</v>
      </c>
      <c r="M89" s="34" t="s">
        <v>81</v>
      </c>
      <c r="N89" s="33" t="s">
        <v>394</v>
      </c>
      <c r="O89" s="33" t="s">
        <v>398</v>
      </c>
      <c r="P89" s="33" t="s">
        <v>138</v>
      </c>
      <c r="Q89" s="33" t="s">
        <v>137</v>
      </c>
      <c r="R89" s="33" t="s">
        <v>137</v>
      </c>
      <c r="AV89" s="33" t="s">
        <v>81</v>
      </c>
      <c r="AW89" s="33" t="s">
        <v>399</v>
      </c>
      <c r="AX89" s="33" t="s">
        <v>81</v>
      </c>
      <c r="AY89" s="33" t="s">
        <v>81</v>
      </c>
    </row>
    <row r="90" spans="1:51" ht="30" customHeight="1" x14ac:dyDescent="0.3">
      <c r="A90" s="34" t="s">
        <v>177</v>
      </c>
      <c r="B90" s="34" t="s">
        <v>81</v>
      </c>
      <c r="C90" s="34" t="s">
        <v>81</v>
      </c>
      <c r="D90" s="30"/>
      <c r="E90" s="31"/>
      <c r="F90" s="32">
        <f>TRUNC(SUMIF(N88:N89, N87, F88:F89),0)</f>
        <v>1165</v>
      </c>
      <c r="G90" s="31"/>
      <c r="H90" s="32">
        <f>TRUNC(SUMIF(N88:N89, N87, H88:H89),0)</f>
        <v>6438</v>
      </c>
      <c r="I90" s="31"/>
      <c r="J90" s="32">
        <f>TRUNC(SUMIF(N88:N89, N87, J88:J89),0)</f>
        <v>0</v>
      </c>
      <c r="K90" s="31"/>
      <c r="L90" s="32">
        <f>F90+H90+J90</f>
        <v>7603</v>
      </c>
      <c r="M90" s="34" t="s">
        <v>81</v>
      </c>
      <c r="N90" s="33" t="s">
        <v>178</v>
      </c>
      <c r="O90" s="33" t="s">
        <v>178</v>
      </c>
      <c r="P90" s="33" t="s">
        <v>81</v>
      </c>
      <c r="Q90" s="33" t="s">
        <v>81</v>
      </c>
      <c r="R90" s="33" t="s">
        <v>81</v>
      </c>
      <c r="AV90" s="33" t="s">
        <v>81</v>
      </c>
      <c r="AW90" s="33" t="s">
        <v>81</v>
      </c>
      <c r="AX90" s="33" t="s">
        <v>81</v>
      </c>
      <c r="AY90" s="33" t="s">
        <v>81</v>
      </c>
    </row>
    <row r="91" spans="1:51" ht="30" customHeight="1" x14ac:dyDescent="0.3">
      <c r="A91" s="30"/>
      <c r="B91" s="30"/>
      <c r="C91" s="30"/>
      <c r="D91" s="30"/>
      <c r="E91" s="31"/>
      <c r="F91" s="32"/>
      <c r="G91" s="31"/>
      <c r="H91" s="32"/>
      <c r="I91" s="31"/>
      <c r="J91" s="32"/>
      <c r="K91" s="31"/>
      <c r="L91" s="32"/>
      <c r="M91" s="30"/>
    </row>
    <row r="92" spans="1:51" ht="30" customHeight="1" x14ac:dyDescent="0.3">
      <c r="A92" s="266" t="s">
        <v>400</v>
      </c>
      <c r="B92" s="266"/>
      <c r="C92" s="266"/>
      <c r="D92" s="266"/>
      <c r="E92" s="267"/>
      <c r="F92" s="268"/>
      <c r="G92" s="267"/>
      <c r="H92" s="268"/>
      <c r="I92" s="267"/>
      <c r="J92" s="268"/>
      <c r="K92" s="267"/>
      <c r="L92" s="268"/>
      <c r="M92" s="266"/>
      <c r="N92" s="33" t="s">
        <v>401</v>
      </c>
    </row>
    <row r="93" spans="1:51" ht="30" customHeight="1" x14ac:dyDescent="0.3">
      <c r="A93" s="34" t="s">
        <v>39</v>
      </c>
      <c r="B93" s="34" t="s">
        <v>168</v>
      </c>
      <c r="C93" s="34" t="s">
        <v>3</v>
      </c>
      <c r="D93" s="30">
        <v>3.5999999999999997E-2</v>
      </c>
      <c r="E93" s="31">
        <f>[1]단가대비표!O57</f>
        <v>0</v>
      </c>
      <c r="F93" s="32">
        <f>TRUNC(E93*D93,1)</f>
        <v>0</v>
      </c>
      <c r="G93" s="31">
        <f>[1]단가대비표!P57</f>
        <v>217895</v>
      </c>
      <c r="H93" s="32">
        <f>TRUNC(G93*D93,1)</f>
        <v>7844.2</v>
      </c>
      <c r="I93" s="31">
        <f>[1]단가대비표!V57</f>
        <v>0</v>
      </c>
      <c r="J93" s="32">
        <f>TRUNC(I93*D93,1)</f>
        <v>0</v>
      </c>
      <c r="K93" s="31">
        <f>TRUNC(E93+G93+I93,1)</f>
        <v>217895</v>
      </c>
      <c r="L93" s="32">
        <f>TRUNC(F93+H93+J93,1)</f>
        <v>7844.2</v>
      </c>
      <c r="M93" s="34" t="s">
        <v>81</v>
      </c>
      <c r="N93" s="33" t="s">
        <v>401</v>
      </c>
      <c r="O93" s="33" t="s">
        <v>402</v>
      </c>
      <c r="P93" s="33" t="s">
        <v>137</v>
      </c>
      <c r="Q93" s="33" t="s">
        <v>137</v>
      </c>
      <c r="R93" s="33" t="s">
        <v>138</v>
      </c>
      <c r="AV93" s="33" t="s">
        <v>81</v>
      </c>
      <c r="AW93" s="33" t="s">
        <v>403</v>
      </c>
      <c r="AX93" s="33" t="s">
        <v>81</v>
      </c>
      <c r="AY93" s="33" t="s">
        <v>81</v>
      </c>
    </row>
    <row r="94" spans="1:51" ht="30" customHeight="1" x14ac:dyDescent="0.3">
      <c r="A94" s="34" t="s">
        <v>4</v>
      </c>
      <c r="B94" s="34" t="s">
        <v>168</v>
      </c>
      <c r="C94" s="34" t="s">
        <v>3</v>
      </c>
      <c r="D94" s="30">
        <v>0.03</v>
      </c>
      <c r="E94" s="31">
        <f>[1]단가대비표!O55</f>
        <v>0</v>
      </c>
      <c r="F94" s="32">
        <f>TRUNC(E94*D94,1)</f>
        <v>0</v>
      </c>
      <c r="G94" s="31">
        <f>[1]단가대비표!P55</f>
        <v>138989</v>
      </c>
      <c r="H94" s="32">
        <f>TRUNC(G94*D94,1)</f>
        <v>4169.6000000000004</v>
      </c>
      <c r="I94" s="31">
        <f>[1]단가대비표!V55</f>
        <v>0</v>
      </c>
      <c r="J94" s="32">
        <f>TRUNC(I94*D94,1)</f>
        <v>0</v>
      </c>
      <c r="K94" s="31">
        <f>TRUNC(E94+G94+I94,1)</f>
        <v>138989</v>
      </c>
      <c r="L94" s="32">
        <f>TRUNC(F94+H94+J94,1)</f>
        <v>4169.6000000000004</v>
      </c>
      <c r="M94" s="34" t="s">
        <v>81</v>
      </c>
      <c r="N94" s="33" t="s">
        <v>401</v>
      </c>
      <c r="O94" s="33" t="s">
        <v>171</v>
      </c>
      <c r="P94" s="33" t="s">
        <v>137</v>
      </c>
      <c r="Q94" s="33" t="s">
        <v>137</v>
      </c>
      <c r="R94" s="33" t="s">
        <v>138</v>
      </c>
      <c r="AV94" s="33" t="s">
        <v>81</v>
      </c>
      <c r="AW94" s="33" t="s">
        <v>404</v>
      </c>
      <c r="AX94" s="33" t="s">
        <v>81</v>
      </c>
      <c r="AY94" s="33" t="s">
        <v>81</v>
      </c>
    </row>
    <row r="95" spans="1:51" ht="30" customHeight="1" x14ac:dyDescent="0.3">
      <c r="A95" s="34" t="s">
        <v>177</v>
      </c>
      <c r="B95" s="34" t="s">
        <v>81</v>
      </c>
      <c r="C95" s="34" t="s">
        <v>81</v>
      </c>
      <c r="D95" s="30"/>
      <c r="E95" s="31"/>
      <c r="F95" s="32">
        <f>TRUNC(SUMIF(N93:N94, N92, F93:F94),0)</f>
        <v>0</v>
      </c>
      <c r="G95" s="31"/>
      <c r="H95" s="32">
        <f>TRUNC(SUMIF(N93:N94, N92, H93:H94),0)</f>
        <v>12013</v>
      </c>
      <c r="I95" s="31"/>
      <c r="J95" s="32">
        <f>TRUNC(SUMIF(N93:N94, N92, J93:J94),0)</f>
        <v>0</v>
      </c>
      <c r="K95" s="31"/>
      <c r="L95" s="32">
        <f>F95+H95+J95</f>
        <v>12013</v>
      </c>
      <c r="M95" s="34" t="s">
        <v>81</v>
      </c>
      <c r="N95" s="33" t="s">
        <v>178</v>
      </c>
      <c r="O95" s="33" t="s">
        <v>178</v>
      </c>
      <c r="P95" s="33" t="s">
        <v>81</v>
      </c>
      <c r="Q95" s="33" t="s">
        <v>81</v>
      </c>
      <c r="R95" s="33" t="s">
        <v>81</v>
      </c>
      <c r="AV95" s="33" t="s">
        <v>81</v>
      </c>
      <c r="AW95" s="33" t="s">
        <v>81</v>
      </c>
      <c r="AX95" s="33" t="s">
        <v>81</v>
      </c>
      <c r="AY95" s="33" t="s">
        <v>81</v>
      </c>
    </row>
    <row r="96" spans="1:51" ht="30" customHeight="1" x14ac:dyDescent="0.3">
      <c r="A96" s="30"/>
      <c r="B96" s="30"/>
      <c r="C96" s="30"/>
      <c r="D96" s="30"/>
      <c r="E96" s="31"/>
      <c r="F96" s="32"/>
      <c r="G96" s="31"/>
      <c r="H96" s="32"/>
      <c r="I96" s="31"/>
      <c r="J96" s="32"/>
      <c r="K96" s="31"/>
      <c r="L96" s="32"/>
      <c r="M96" s="30"/>
    </row>
    <row r="97" spans="1:51" ht="30" customHeight="1" x14ac:dyDescent="0.3">
      <c r="A97" s="266" t="s">
        <v>405</v>
      </c>
      <c r="B97" s="266"/>
      <c r="C97" s="266"/>
      <c r="D97" s="266"/>
      <c r="E97" s="267"/>
      <c r="F97" s="268"/>
      <c r="G97" s="267"/>
      <c r="H97" s="268"/>
      <c r="I97" s="267"/>
      <c r="J97" s="268"/>
      <c r="K97" s="267"/>
      <c r="L97" s="268"/>
      <c r="M97" s="266"/>
      <c r="N97" s="33" t="s">
        <v>235</v>
      </c>
    </row>
    <row r="98" spans="1:51" ht="30" customHeight="1" x14ac:dyDescent="0.3">
      <c r="A98" s="34" t="s">
        <v>283</v>
      </c>
      <c r="B98" s="34" t="s">
        <v>284</v>
      </c>
      <c r="C98" s="34" t="s">
        <v>285</v>
      </c>
      <c r="D98" s="30">
        <v>3.1953</v>
      </c>
      <c r="E98" s="31">
        <f>[1]단가대비표!O9</f>
        <v>1218</v>
      </c>
      <c r="F98" s="32">
        <f>TRUNC(E98*D98,1)</f>
        <v>3891.8</v>
      </c>
      <c r="G98" s="31">
        <f>[1]단가대비표!P9</f>
        <v>0</v>
      </c>
      <c r="H98" s="32">
        <f>TRUNC(G98*D98,1)</f>
        <v>0</v>
      </c>
      <c r="I98" s="31">
        <f>[1]단가대비표!V9</f>
        <v>0</v>
      </c>
      <c r="J98" s="32">
        <f>TRUNC(I98*D98,1)</f>
        <v>0</v>
      </c>
      <c r="K98" s="31">
        <f>TRUNC(E98+G98+I98,1)</f>
        <v>1218</v>
      </c>
      <c r="L98" s="32">
        <f>TRUNC(F98+H98+J98,1)</f>
        <v>3891.8</v>
      </c>
      <c r="M98" s="34" t="s">
        <v>81</v>
      </c>
      <c r="N98" s="33" t="s">
        <v>235</v>
      </c>
      <c r="O98" s="33" t="s">
        <v>286</v>
      </c>
      <c r="P98" s="33" t="s">
        <v>137</v>
      </c>
      <c r="Q98" s="33" t="s">
        <v>137</v>
      </c>
      <c r="R98" s="33" t="s">
        <v>138</v>
      </c>
      <c r="AV98" s="33" t="s">
        <v>81</v>
      </c>
      <c r="AW98" s="33" t="s">
        <v>406</v>
      </c>
      <c r="AX98" s="33" t="s">
        <v>81</v>
      </c>
      <c r="AY98" s="33" t="s">
        <v>81</v>
      </c>
    </row>
    <row r="99" spans="1:51" ht="30" customHeight="1" x14ac:dyDescent="0.3">
      <c r="A99" s="34" t="s">
        <v>234</v>
      </c>
      <c r="B99" s="34" t="s">
        <v>287</v>
      </c>
      <c r="C99" s="34" t="s">
        <v>16</v>
      </c>
      <c r="D99" s="30">
        <v>1</v>
      </c>
      <c r="E99" s="31">
        <f>[1]일위대가목록!E33</f>
        <v>0</v>
      </c>
      <c r="F99" s="32">
        <f>TRUNC(E99*D99,1)</f>
        <v>0</v>
      </c>
      <c r="G99" s="31">
        <f>[1]일위대가목록!F33</f>
        <v>7607</v>
      </c>
      <c r="H99" s="32">
        <f>TRUNC(G99*D99,1)</f>
        <v>7607</v>
      </c>
      <c r="I99" s="31">
        <f>[1]일위대가목록!G33</f>
        <v>152</v>
      </c>
      <c r="J99" s="32">
        <f>TRUNC(I99*D99,1)</f>
        <v>152</v>
      </c>
      <c r="K99" s="31">
        <f>TRUNC(E99+G99+I99,1)</f>
        <v>7759</v>
      </c>
      <c r="L99" s="32">
        <f>TRUNC(F99+H99+J99,1)</f>
        <v>7759</v>
      </c>
      <c r="M99" s="34" t="s">
        <v>81</v>
      </c>
      <c r="N99" s="33" t="s">
        <v>235</v>
      </c>
      <c r="O99" s="33" t="s">
        <v>288</v>
      </c>
      <c r="P99" s="33" t="s">
        <v>138</v>
      </c>
      <c r="Q99" s="33" t="s">
        <v>137</v>
      </c>
      <c r="R99" s="33" t="s">
        <v>137</v>
      </c>
      <c r="AV99" s="33" t="s">
        <v>81</v>
      </c>
      <c r="AW99" s="33" t="s">
        <v>407</v>
      </c>
      <c r="AX99" s="33" t="s">
        <v>81</v>
      </c>
      <c r="AY99" s="33" t="s">
        <v>81</v>
      </c>
    </row>
    <row r="100" spans="1:51" ht="30" customHeight="1" x14ac:dyDescent="0.3">
      <c r="A100" s="34" t="s">
        <v>177</v>
      </c>
      <c r="B100" s="34" t="s">
        <v>81</v>
      </c>
      <c r="C100" s="34" t="s">
        <v>81</v>
      </c>
      <c r="D100" s="30"/>
      <c r="E100" s="31"/>
      <c r="F100" s="32">
        <f>TRUNC(SUMIF(N98:N99, N97, F98:F99),0)</f>
        <v>3891</v>
      </c>
      <c r="G100" s="31"/>
      <c r="H100" s="32">
        <f>TRUNC(SUMIF(N98:N99, N97, H98:H99),0)</f>
        <v>7607</v>
      </c>
      <c r="I100" s="31"/>
      <c r="J100" s="32">
        <f>TRUNC(SUMIF(N98:N99, N97, J98:J99),0)</f>
        <v>152</v>
      </c>
      <c r="K100" s="31"/>
      <c r="L100" s="32">
        <f>F100+H100+J100</f>
        <v>11650</v>
      </c>
      <c r="M100" s="34" t="s">
        <v>81</v>
      </c>
      <c r="N100" s="33" t="s">
        <v>178</v>
      </c>
      <c r="O100" s="33" t="s">
        <v>178</v>
      </c>
      <c r="P100" s="33" t="s">
        <v>81</v>
      </c>
      <c r="Q100" s="33" t="s">
        <v>81</v>
      </c>
      <c r="R100" s="33" t="s">
        <v>81</v>
      </c>
      <c r="AV100" s="33" t="s">
        <v>81</v>
      </c>
      <c r="AW100" s="33" t="s">
        <v>81</v>
      </c>
      <c r="AX100" s="33" t="s">
        <v>81</v>
      </c>
      <c r="AY100" s="33" t="s">
        <v>81</v>
      </c>
    </row>
    <row r="101" spans="1:51" ht="30" customHeight="1" x14ac:dyDescent="0.3">
      <c r="A101" s="30"/>
      <c r="B101" s="30"/>
      <c r="C101" s="30"/>
      <c r="D101" s="30"/>
      <c r="E101" s="31"/>
      <c r="F101" s="32"/>
      <c r="G101" s="31"/>
      <c r="H101" s="32"/>
      <c r="I101" s="31"/>
      <c r="J101" s="32"/>
      <c r="K101" s="31"/>
      <c r="L101" s="32"/>
      <c r="M101" s="30"/>
    </row>
    <row r="102" spans="1:51" ht="30" customHeight="1" x14ac:dyDescent="0.3">
      <c r="A102" s="266" t="s">
        <v>408</v>
      </c>
      <c r="B102" s="266"/>
      <c r="C102" s="266"/>
      <c r="D102" s="266"/>
      <c r="E102" s="267"/>
      <c r="F102" s="268"/>
      <c r="G102" s="267"/>
      <c r="H102" s="268"/>
      <c r="I102" s="267"/>
      <c r="J102" s="268"/>
      <c r="K102" s="267"/>
      <c r="L102" s="268"/>
      <c r="M102" s="266"/>
      <c r="N102" s="33" t="s">
        <v>241</v>
      </c>
    </row>
    <row r="103" spans="1:51" ht="30" customHeight="1" x14ac:dyDescent="0.3">
      <c r="A103" s="34" t="s">
        <v>39</v>
      </c>
      <c r="B103" s="34" t="s">
        <v>168</v>
      </c>
      <c r="C103" s="34" t="s">
        <v>3</v>
      </c>
      <c r="D103" s="30">
        <v>0.06</v>
      </c>
      <c r="E103" s="31">
        <f>[1]단가대비표!O57</f>
        <v>0</v>
      </c>
      <c r="F103" s="32">
        <f>TRUNC(E103*D103,1)</f>
        <v>0</v>
      </c>
      <c r="G103" s="31">
        <f>[1]단가대비표!P57</f>
        <v>217895</v>
      </c>
      <c r="H103" s="32">
        <f>TRUNC(G103*D103,1)</f>
        <v>13073.7</v>
      </c>
      <c r="I103" s="31">
        <f>[1]단가대비표!V57</f>
        <v>0</v>
      </c>
      <c r="J103" s="32">
        <f>TRUNC(I103*D103,1)</f>
        <v>0</v>
      </c>
      <c r="K103" s="31">
        <f t="shared" ref="K103:L105" si="7">TRUNC(E103+G103+I103,1)</f>
        <v>217895</v>
      </c>
      <c r="L103" s="32">
        <f t="shared" si="7"/>
        <v>13073.7</v>
      </c>
      <c r="M103" s="34" t="s">
        <v>81</v>
      </c>
      <c r="N103" s="33" t="s">
        <v>241</v>
      </c>
      <c r="O103" s="33" t="s">
        <v>402</v>
      </c>
      <c r="P103" s="33" t="s">
        <v>137</v>
      </c>
      <c r="Q103" s="33" t="s">
        <v>137</v>
      </c>
      <c r="R103" s="33" t="s">
        <v>138</v>
      </c>
      <c r="V103">
        <v>1</v>
      </c>
      <c r="AV103" s="33" t="s">
        <v>81</v>
      </c>
      <c r="AW103" s="33" t="s">
        <v>409</v>
      </c>
      <c r="AX103" s="33" t="s">
        <v>81</v>
      </c>
      <c r="AY103" s="33" t="s">
        <v>81</v>
      </c>
    </row>
    <row r="104" spans="1:51" ht="30" customHeight="1" x14ac:dyDescent="0.3">
      <c r="A104" s="34" t="s">
        <v>4</v>
      </c>
      <c r="B104" s="34" t="s">
        <v>168</v>
      </c>
      <c r="C104" s="34" t="s">
        <v>3</v>
      </c>
      <c r="D104" s="30">
        <v>6.0000000000000001E-3</v>
      </c>
      <c r="E104" s="31">
        <f>[1]단가대비표!O55</f>
        <v>0</v>
      </c>
      <c r="F104" s="32">
        <f>TRUNC(E104*D104,1)</f>
        <v>0</v>
      </c>
      <c r="G104" s="31">
        <f>[1]단가대비표!P55</f>
        <v>138989</v>
      </c>
      <c r="H104" s="32">
        <f>TRUNC(G104*D104,1)</f>
        <v>833.9</v>
      </c>
      <c r="I104" s="31">
        <f>[1]단가대비표!V55</f>
        <v>0</v>
      </c>
      <c r="J104" s="32">
        <f>TRUNC(I104*D104,1)</f>
        <v>0</v>
      </c>
      <c r="K104" s="31">
        <f t="shared" si="7"/>
        <v>138989</v>
      </c>
      <c r="L104" s="32">
        <f t="shared" si="7"/>
        <v>833.9</v>
      </c>
      <c r="M104" s="34" t="s">
        <v>81</v>
      </c>
      <c r="N104" s="33" t="s">
        <v>241</v>
      </c>
      <c r="O104" s="33" t="s">
        <v>171</v>
      </c>
      <c r="P104" s="33" t="s">
        <v>137</v>
      </c>
      <c r="Q104" s="33" t="s">
        <v>137</v>
      </c>
      <c r="R104" s="33" t="s">
        <v>138</v>
      </c>
      <c r="V104">
        <v>1</v>
      </c>
      <c r="AV104" s="33" t="s">
        <v>81</v>
      </c>
      <c r="AW104" s="33" t="s">
        <v>410</v>
      </c>
      <c r="AX104" s="33" t="s">
        <v>81</v>
      </c>
      <c r="AY104" s="33" t="s">
        <v>81</v>
      </c>
    </row>
    <row r="105" spans="1:51" ht="30" customHeight="1" x14ac:dyDescent="0.3">
      <c r="A105" s="34" t="s">
        <v>19</v>
      </c>
      <c r="B105" s="34" t="s">
        <v>362</v>
      </c>
      <c r="C105" s="34" t="s">
        <v>5</v>
      </c>
      <c r="D105" s="30">
        <v>1</v>
      </c>
      <c r="E105" s="31">
        <v>0</v>
      </c>
      <c r="F105" s="32">
        <f>TRUNC(E105*D105,1)</f>
        <v>0</v>
      </c>
      <c r="G105" s="31">
        <v>0</v>
      </c>
      <c r="H105" s="32">
        <f>TRUNC(G105*D105,1)</f>
        <v>0</v>
      </c>
      <c r="I105" s="31">
        <f>TRUNC(SUMIF(V103:V105, RIGHTB(O105, 1), H103:H105)*U105, 2)</f>
        <v>278.14999999999998</v>
      </c>
      <c r="J105" s="32">
        <f>TRUNC(I105*D105,1)</f>
        <v>278.10000000000002</v>
      </c>
      <c r="K105" s="31">
        <f t="shared" si="7"/>
        <v>278.10000000000002</v>
      </c>
      <c r="L105" s="32">
        <f t="shared" si="7"/>
        <v>278.10000000000002</v>
      </c>
      <c r="M105" s="34" t="s">
        <v>81</v>
      </c>
      <c r="N105" s="33" t="s">
        <v>241</v>
      </c>
      <c r="O105" s="33" t="s">
        <v>173</v>
      </c>
      <c r="P105" s="33" t="s">
        <v>137</v>
      </c>
      <c r="Q105" s="33" t="s">
        <v>137</v>
      </c>
      <c r="R105" s="33" t="s">
        <v>137</v>
      </c>
      <c r="S105">
        <v>1</v>
      </c>
      <c r="T105">
        <v>2</v>
      </c>
      <c r="U105">
        <v>0.02</v>
      </c>
      <c r="AV105" s="33" t="s">
        <v>81</v>
      </c>
      <c r="AW105" s="33" t="s">
        <v>411</v>
      </c>
      <c r="AX105" s="33" t="s">
        <v>81</v>
      </c>
      <c r="AY105" s="33" t="s">
        <v>81</v>
      </c>
    </row>
    <row r="106" spans="1:51" ht="30" customHeight="1" x14ac:dyDescent="0.3">
      <c r="A106" s="34" t="s">
        <v>177</v>
      </c>
      <c r="B106" s="34" t="s">
        <v>81</v>
      </c>
      <c r="C106" s="34" t="s">
        <v>81</v>
      </c>
      <c r="D106" s="30"/>
      <c r="E106" s="31"/>
      <c r="F106" s="32">
        <f>TRUNC(SUMIF(N103:N105, N102, F103:F105),0)</f>
        <v>0</v>
      </c>
      <c r="G106" s="31"/>
      <c r="H106" s="32">
        <f>TRUNC(SUMIF(N103:N105, N102, H103:H105),0)</f>
        <v>13907</v>
      </c>
      <c r="I106" s="31"/>
      <c r="J106" s="32">
        <f>TRUNC(SUMIF(N103:N105, N102, J103:J105),0)</f>
        <v>278</v>
      </c>
      <c r="K106" s="31"/>
      <c r="L106" s="32">
        <f>F106+H106+J106</f>
        <v>14185</v>
      </c>
      <c r="M106" s="34" t="s">
        <v>81</v>
      </c>
      <c r="N106" s="33" t="s">
        <v>178</v>
      </c>
      <c r="O106" s="33" t="s">
        <v>178</v>
      </c>
      <c r="P106" s="33" t="s">
        <v>81</v>
      </c>
      <c r="Q106" s="33" t="s">
        <v>81</v>
      </c>
      <c r="R106" s="33" t="s">
        <v>81</v>
      </c>
      <c r="AV106" s="33" t="s">
        <v>81</v>
      </c>
      <c r="AW106" s="33" t="s">
        <v>81</v>
      </c>
      <c r="AX106" s="33" t="s">
        <v>81</v>
      </c>
      <c r="AY106" s="33" t="s">
        <v>81</v>
      </c>
    </row>
    <row r="107" spans="1:51" ht="30" customHeight="1" x14ac:dyDescent="0.3">
      <c r="A107" s="30"/>
      <c r="B107" s="30"/>
      <c r="C107" s="30"/>
      <c r="D107" s="30"/>
      <c r="E107" s="31"/>
      <c r="F107" s="32"/>
      <c r="G107" s="31"/>
      <c r="H107" s="32"/>
      <c r="I107" s="31"/>
      <c r="J107" s="32"/>
      <c r="K107" s="31"/>
      <c r="L107" s="32"/>
      <c r="M107" s="30"/>
    </row>
    <row r="108" spans="1:51" ht="30" customHeight="1" x14ac:dyDescent="0.3">
      <c r="A108" s="266" t="s">
        <v>412</v>
      </c>
      <c r="B108" s="266"/>
      <c r="C108" s="266"/>
      <c r="D108" s="266"/>
      <c r="E108" s="267"/>
      <c r="F108" s="268"/>
      <c r="G108" s="267"/>
      <c r="H108" s="268"/>
      <c r="I108" s="267"/>
      <c r="J108" s="268"/>
      <c r="K108" s="267"/>
      <c r="L108" s="268"/>
      <c r="M108" s="266"/>
      <c r="N108" s="33" t="s">
        <v>243</v>
      </c>
    </row>
    <row r="109" spans="1:51" ht="30" customHeight="1" x14ac:dyDescent="0.3">
      <c r="A109" s="34" t="s">
        <v>242</v>
      </c>
      <c r="B109" s="34" t="s">
        <v>413</v>
      </c>
      <c r="C109" s="34" t="s">
        <v>16</v>
      </c>
      <c r="D109" s="30">
        <v>1</v>
      </c>
      <c r="E109" s="31">
        <f>[1]일위대가목록!E34</f>
        <v>256</v>
      </c>
      <c r="F109" s="32">
        <f>TRUNC(E109*D109,1)</f>
        <v>256</v>
      </c>
      <c r="G109" s="31">
        <f>[1]일위대가목록!F34</f>
        <v>0</v>
      </c>
      <c r="H109" s="32">
        <f>TRUNC(G109*D109,1)</f>
        <v>0</v>
      </c>
      <c r="I109" s="31">
        <f>[1]일위대가목록!G34</f>
        <v>0</v>
      </c>
      <c r="J109" s="32">
        <f>TRUNC(I109*D109,1)</f>
        <v>0</v>
      </c>
      <c r="K109" s="31">
        <f>TRUNC(E109+G109+I109,1)</f>
        <v>256</v>
      </c>
      <c r="L109" s="32">
        <f>TRUNC(F109+H109+J109,1)</f>
        <v>256</v>
      </c>
      <c r="M109" s="34" t="s">
        <v>81</v>
      </c>
      <c r="N109" s="33" t="s">
        <v>243</v>
      </c>
      <c r="O109" s="33" t="s">
        <v>414</v>
      </c>
      <c r="P109" s="33" t="s">
        <v>138</v>
      </c>
      <c r="Q109" s="33" t="s">
        <v>137</v>
      </c>
      <c r="R109" s="33" t="s">
        <v>137</v>
      </c>
      <c r="AV109" s="33" t="s">
        <v>81</v>
      </c>
      <c r="AW109" s="33" t="s">
        <v>415</v>
      </c>
      <c r="AX109" s="33" t="s">
        <v>81</v>
      </c>
      <c r="AY109" s="33" t="s">
        <v>81</v>
      </c>
    </row>
    <row r="110" spans="1:51" ht="30" customHeight="1" x14ac:dyDescent="0.3">
      <c r="A110" s="34" t="s">
        <v>242</v>
      </c>
      <c r="B110" s="34" t="s">
        <v>416</v>
      </c>
      <c r="C110" s="34" t="s">
        <v>16</v>
      </c>
      <c r="D110" s="30">
        <v>1</v>
      </c>
      <c r="E110" s="31">
        <f>[1]일위대가목록!E35</f>
        <v>0</v>
      </c>
      <c r="F110" s="32">
        <f>TRUNC(E110*D110,1)</f>
        <v>0</v>
      </c>
      <c r="G110" s="31">
        <f>[1]일위대가목록!F35</f>
        <v>2682</v>
      </c>
      <c r="H110" s="32">
        <f>TRUNC(G110*D110,1)</f>
        <v>2682</v>
      </c>
      <c r="I110" s="31">
        <f>[1]일위대가목록!G35</f>
        <v>0</v>
      </c>
      <c r="J110" s="32">
        <f>TRUNC(I110*D110,1)</f>
        <v>0</v>
      </c>
      <c r="K110" s="31">
        <f>TRUNC(E110+G110+I110,1)</f>
        <v>2682</v>
      </c>
      <c r="L110" s="32">
        <f>TRUNC(F110+H110+J110,1)</f>
        <v>2682</v>
      </c>
      <c r="M110" s="34" t="s">
        <v>81</v>
      </c>
      <c r="N110" s="33" t="s">
        <v>243</v>
      </c>
      <c r="O110" s="33" t="s">
        <v>417</v>
      </c>
      <c r="P110" s="33" t="s">
        <v>138</v>
      </c>
      <c r="Q110" s="33" t="s">
        <v>137</v>
      </c>
      <c r="R110" s="33" t="s">
        <v>137</v>
      </c>
      <c r="AV110" s="33" t="s">
        <v>81</v>
      </c>
      <c r="AW110" s="33" t="s">
        <v>418</v>
      </c>
      <c r="AX110" s="33" t="s">
        <v>81</v>
      </c>
      <c r="AY110" s="33" t="s">
        <v>81</v>
      </c>
    </row>
    <row r="111" spans="1:51" ht="30" customHeight="1" x14ac:dyDescent="0.3">
      <c r="A111" s="34" t="s">
        <v>177</v>
      </c>
      <c r="B111" s="34" t="s">
        <v>81</v>
      </c>
      <c r="C111" s="34" t="s">
        <v>81</v>
      </c>
      <c r="D111" s="30"/>
      <c r="E111" s="31"/>
      <c r="F111" s="32">
        <f>TRUNC(SUMIF(N109:N110, N108, F109:F110),0)</f>
        <v>256</v>
      </c>
      <c r="G111" s="31"/>
      <c r="H111" s="32">
        <f>TRUNC(SUMIF(N109:N110, N108, H109:H110),0)</f>
        <v>2682</v>
      </c>
      <c r="I111" s="31"/>
      <c r="J111" s="32">
        <f>TRUNC(SUMIF(N109:N110, N108, J109:J110),0)</f>
        <v>0</v>
      </c>
      <c r="K111" s="31"/>
      <c r="L111" s="32">
        <f>F111+H111+J111</f>
        <v>2938</v>
      </c>
      <c r="M111" s="34" t="s">
        <v>81</v>
      </c>
      <c r="N111" s="33" t="s">
        <v>178</v>
      </c>
      <c r="O111" s="33" t="s">
        <v>178</v>
      </c>
      <c r="P111" s="33" t="s">
        <v>81</v>
      </c>
      <c r="Q111" s="33" t="s">
        <v>81</v>
      </c>
      <c r="R111" s="33" t="s">
        <v>81</v>
      </c>
      <c r="AV111" s="33" t="s">
        <v>81</v>
      </c>
      <c r="AW111" s="33" t="s">
        <v>81</v>
      </c>
      <c r="AX111" s="33" t="s">
        <v>81</v>
      </c>
      <c r="AY111" s="33" t="s">
        <v>81</v>
      </c>
    </row>
    <row r="112" spans="1:51" ht="30" customHeight="1" x14ac:dyDescent="0.3">
      <c r="A112" s="30"/>
      <c r="B112" s="30"/>
      <c r="C112" s="30"/>
      <c r="D112" s="30"/>
      <c r="E112" s="31"/>
      <c r="F112" s="32"/>
      <c r="G112" s="31"/>
      <c r="H112" s="32"/>
      <c r="I112" s="31"/>
      <c r="J112" s="32"/>
      <c r="K112" s="31"/>
      <c r="L112" s="32"/>
      <c r="M112" s="30"/>
    </row>
    <row r="113" spans="1:51" ht="30" customHeight="1" x14ac:dyDescent="0.3">
      <c r="A113" s="266" t="s">
        <v>419</v>
      </c>
      <c r="B113" s="266"/>
      <c r="C113" s="266"/>
      <c r="D113" s="266"/>
      <c r="E113" s="267"/>
      <c r="F113" s="268"/>
      <c r="G113" s="267"/>
      <c r="H113" s="268"/>
      <c r="I113" s="267"/>
      <c r="J113" s="268"/>
      <c r="K113" s="267"/>
      <c r="L113" s="268"/>
      <c r="M113" s="266"/>
      <c r="N113" s="33" t="s">
        <v>288</v>
      </c>
    </row>
    <row r="114" spans="1:51" ht="30" customHeight="1" x14ac:dyDescent="0.3">
      <c r="A114" s="34" t="s">
        <v>39</v>
      </c>
      <c r="B114" s="34" t="s">
        <v>168</v>
      </c>
      <c r="C114" s="34" t="s">
        <v>3</v>
      </c>
      <c r="D114" s="30">
        <v>3.3000000000000002E-2</v>
      </c>
      <c r="E114" s="31">
        <f>[1]단가대비표!O57</f>
        <v>0</v>
      </c>
      <c r="F114" s="32">
        <f>TRUNC(E114*D114,1)</f>
        <v>0</v>
      </c>
      <c r="G114" s="31">
        <f>[1]단가대비표!P57</f>
        <v>217895</v>
      </c>
      <c r="H114" s="32">
        <f>TRUNC(G114*D114,1)</f>
        <v>7190.5</v>
      </c>
      <c r="I114" s="31">
        <f>[1]단가대비표!V57</f>
        <v>0</v>
      </c>
      <c r="J114" s="32">
        <f>TRUNC(I114*D114,1)</f>
        <v>0</v>
      </c>
      <c r="K114" s="31">
        <f t="shared" ref="K114:L116" si="8">TRUNC(E114+G114+I114,1)</f>
        <v>217895</v>
      </c>
      <c r="L114" s="32">
        <f t="shared" si="8"/>
        <v>7190.5</v>
      </c>
      <c r="M114" s="34" t="s">
        <v>81</v>
      </c>
      <c r="N114" s="33" t="s">
        <v>288</v>
      </c>
      <c r="O114" s="33" t="s">
        <v>402</v>
      </c>
      <c r="P114" s="33" t="s">
        <v>137</v>
      </c>
      <c r="Q114" s="33" t="s">
        <v>137</v>
      </c>
      <c r="R114" s="33" t="s">
        <v>138</v>
      </c>
      <c r="V114">
        <v>1</v>
      </c>
      <c r="AV114" s="33" t="s">
        <v>81</v>
      </c>
      <c r="AW114" s="33" t="s">
        <v>420</v>
      </c>
      <c r="AX114" s="33" t="s">
        <v>81</v>
      </c>
      <c r="AY114" s="33" t="s">
        <v>81</v>
      </c>
    </row>
    <row r="115" spans="1:51" ht="30" customHeight="1" x14ac:dyDescent="0.3">
      <c r="A115" s="34" t="s">
        <v>4</v>
      </c>
      <c r="B115" s="34" t="s">
        <v>168</v>
      </c>
      <c r="C115" s="34" t="s">
        <v>3</v>
      </c>
      <c r="D115" s="30">
        <v>3.0000000000000001E-3</v>
      </c>
      <c r="E115" s="31">
        <f>[1]단가대비표!O55</f>
        <v>0</v>
      </c>
      <c r="F115" s="32">
        <f>TRUNC(E115*D115,1)</f>
        <v>0</v>
      </c>
      <c r="G115" s="31">
        <f>[1]단가대비표!P55</f>
        <v>138989</v>
      </c>
      <c r="H115" s="32">
        <f>TRUNC(G115*D115,1)</f>
        <v>416.9</v>
      </c>
      <c r="I115" s="31">
        <f>[1]단가대비표!V55</f>
        <v>0</v>
      </c>
      <c r="J115" s="32">
        <f>TRUNC(I115*D115,1)</f>
        <v>0</v>
      </c>
      <c r="K115" s="31">
        <f t="shared" si="8"/>
        <v>138989</v>
      </c>
      <c r="L115" s="32">
        <f t="shared" si="8"/>
        <v>416.9</v>
      </c>
      <c r="M115" s="34" t="s">
        <v>81</v>
      </c>
      <c r="N115" s="33" t="s">
        <v>288</v>
      </c>
      <c r="O115" s="33" t="s">
        <v>171</v>
      </c>
      <c r="P115" s="33" t="s">
        <v>137</v>
      </c>
      <c r="Q115" s="33" t="s">
        <v>137</v>
      </c>
      <c r="R115" s="33" t="s">
        <v>138</v>
      </c>
      <c r="V115">
        <v>1</v>
      </c>
      <c r="AV115" s="33" t="s">
        <v>81</v>
      </c>
      <c r="AW115" s="33" t="s">
        <v>421</v>
      </c>
      <c r="AX115" s="33" t="s">
        <v>81</v>
      </c>
      <c r="AY115" s="33" t="s">
        <v>81</v>
      </c>
    </row>
    <row r="116" spans="1:51" ht="30" customHeight="1" x14ac:dyDescent="0.3">
      <c r="A116" s="34" t="s">
        <v>19</v>
      </c>
      <c r="B116" s="34" t="s">
        <v>362</v>
      </c>
      <c r="C116" s="34" t="s">
        <v>5</v>
      </c>
      <c r="D116" s="30">
        <v>1</v>
      </c>
      <c r="E116" s="31">
        <v>0</v>
      </c>
      <c r="F116" s="32">
        <f>TRUNC(E116*D116,1)</f>
        <v>0</v>
      </c>
      <c r="G116" s="31">
        <v>0</v>
      </c>
      <c r="H116" s="32">
        <f>TRUNC(G116*D116,1)</f>
        <v>0</v>
      </c>
      <c r="I116" s="31">
        <f>TRUNC(SUMIF(V114:V116, RIGHTB(O116, 1), H114:H116)*U116, 2)</f>
        <v>152.13999999999999</v>
      </c>
      <c r="J116" s="32">
        <f>TRUNC(I116*D116,1)</f>
        <v>152.1</v>
      </c>
      <c r="K116" s="31">
        <f t="shared" si="8"/>
        <v>152.1</v>
      </c>
      <c r="L116" s="32">
        <f t="shared" si="8"/>
        <v>152.1</v>
      </c>
      <c r="M116" s="34" t="s">
        <v>81</v>
      </c>
      <c r="N116" s="33" t="s">
        <v>288</v>
      </c>
      <c r="O116" s="33" t="s">
        <v>173</v>
      </c>
      <c r="P116" s="33" t="s">
        <v>137</v>
      </c>
      <c r="Q116" s="33" t="s">
        <v>137</v>
      </c>
      <c r="R116" s="33" t="s">
        <v>137</v>
      </c>
      <c r="S116">
        <v>1</v>
      </c>
      <c r="T116">
        <v>2</v>
      </c>
      <c r="U116">
        <v>0.02</v>
      </c>
      <c r="AV116" s="33" t="s">
        <v>81</v>
      </c>
      <c r="AW116" s="33" t="s">
        <v>422</v>
      </c>
      <c r="AX116" s="33" t="s">
        <v>81</v>
      </c>
      <c r="AY116" s="33" t="s">
        <v>81</v>
      </c>
    </row>
    <row r="117" spans="1:51" ht="30" customHeight="1" x14ac:dyDescent="0.3">
      <c r="A117" s="34" t="s">
        <v>177</v>
      </c>
      <c r="B117" s="34" t="s">
        <v>81</v>
      </c>
      <c r="C117" s="34" t="s">
        <v>81</v>
      </c>
      <c r="D117" s="30"/>
      <c r="E117" s="31"/>
      <c r="F117" s="32">
        <f>TRUNC(SUMIF(N114:N116, N113, F114:F116),0)</f>
        <v>0</v>
      </c>
      <c r="G117" s="31"/>
      <c r="H117" s="32">
        <f>TRUNC(SUMIF(N114:N116, N113, H114:H116),0)</f>
        <v>7607</v>
      </c>
      <c r="I117" s="31"/>
      <c r="J117" s="32">
        <f>TRUNC(SUMIF(N114:N116, N113, J114:J116),0)</f>
        <v>152</v>
      </c>
      <c r="K117" s="31"/>
      <c r="L117" s="32">
        <f>F117+H117+J117</f>
        <v>7759</v>
      </c>
      <c r="M117" s="34" t="s">
        <v>81</v>
      </c>
      <c r="N117" s="33" t="s">
        <v>178</v>
      </c>
      <c r="O117" s="33" t="s">
        <v>178</v>
      </c>
      <c r="P117" s="33" t="s">
        <v>81</v>
      </c>
      <c r="Q117" s="33" t="s">
        <v>81</v>
      </c>
      <c r="R117" s="33" t="s">
        <v>81</v>
      </c>
      <c r="AV117" s="33" t="s">
        <v>81</v>
      </c>
      <c r="AW117" s="33" t="s">
        <v>81</v>
      </c>
      <c r="AX117" s="33" t="s">
        <v>81</v>
      </c>
      <c r="AY117" s="33" t="s">
        <v>81</v>
      </c>
    </row>
    <row r="118" spans="1:51" ht="30" customHeight="1" x14ac:dyDescent="0.3">
      <c r="A118" s="30"/>
      <c r="B118" s="30"/>
      <c r="C118" s="30"/>
      <c r="D118" s="30"/>
      <c r="E118" s="31"/>
      <c r="F118" s="32"/>
      <c r="G118" s="31"/>
      <c r="H118" s="32"/>
      <c r="I118" s="31"/>
      <c r="J118" s="32"/>
      <c r="K118" s="31"/>
      <c r="L118" s="32"/>
      <c r="M118" s="30"/>
    </row>
    <row r="119" spans="1:51" ht="30" customHeight="1" x14ac:dyDescent="0.3">
      <c r="A119" s="266" t="s">
        <v>423</v>
      </c>
      <c r="B119" s="266"/>
      <c r="C119" s="266"/>
      <c r="D119" s="266"/>
      <c r="E119" s="267"/>
      <c r="F119" s="268"/>
      <c r="G119" s="267"/>
      <c r="H119" s="268"/>
      <c r="I119" s="267"/>
      <c r="J119" s="268"/>
      <c r="K119" s="267"/>
      <c r="L119" s="268"/>
      <c r="M119" s="266"/>
      <c r="N119" s="33" t="s">
        <v>414</v>
      </c>
    </row>
    <row r="120" spans="1:51" ht="30" customHeight="1" x14ac:dyDescent="0.3">
      <c r="A120" s="34" t="s">
        <v>424</v>
      </c>
      <c r="B120" s="34" t="s">
        <v>425</v>
      </c>
      <c r="C120" s="34" t="s">
        <v>373</v>
      </c>
      <c r="D120" s="30">
        <v>9.8000000000000004E-2</v>
      </c>
      <c r="E120" s="31">
        <f>[1]단가대비표!O48</f>
        <v>2470</v>
      </c>
      <c r="F120" s="32">
        <f>TRUNC(E120*D120,1)</f>
        <v>242</v>
      </c>
      <c r="G120" s="31">
        <f>[1]단가대비표!P48</f>
        <v>0</v>
      </c>
      <c r="H120" s="32">
        <f>TRUNC(G120*D120,1)</f>
        <v>0</v>
      </c>
      <c r="I120" s="31">
        <f>[1]단가대비표!V48</f>
        <v>0</v>
      </c>
      <c r="J120" s="32">
        <f>TRUNC(I120*D120,1)</f>
        <v>0</v>
      </c>
      <c r="K120" s="31">
        <f>TRUNC(E120+G120+I120,1)</f>
        <v>2470</v>
      </c>
      <c r="L120" s="32">
        <f>TRUNC(F120+H120+J120,1)</f>
        <v>242</v>
      </c>
      <c r="M120" s="34" t="s">
        <v>81</v>
      </c>
      <c r="N120" s="33" t="s">
        <v>414</v>
      </c>
      <c r="O120" s="33" t="s">
        <v>426</v>
      </c>
      <c r="P120" s="33" t="s">
        <v>137</v>
      </c>
      <c r="Q120" s="33" t="s">
        <v>137</v>
      </c>
      <c r="R120" s="33" t="s">
        <v>138</v>
      </c>
      <c r="V120">
        <v>1</v>
      </c>
      <c r="AV120" s="33" t="s">
        <v>81</v>
      </c>
      <c r="AW120" s="33" t="s">
        <v>427</v>
      </c>
      <c r="AX120" s="33" t="s">
        <v>81</v>
      </c>
      <c r="AY120" s="33" t="s">
        <v>81</v>
      </c>
    </row>
    <row r="121" spans="1:51" ht="30" customHeight="1" x14ac:dyDescent="0.3">
      <c r="A121" s="34" t="s">
        <v>428</v>
      </c>
      <c r="B121" s="34" t="s">
        <v>429</v>
      </c>
      <c r="C121" s="34" t="s">
        <v>5</v>
      </c>
      <c r="D121" s="30">
        <v>1</v>
      </c>
      <c r="E121" s="31">
        <f>TRUNC(SUMIF(V120:V121, RIGHTB(O121, 1), F120:F121)*U121, 2)</f>
        <v>14.52</v>
      </c>
      <c r="F121" s="32">
        <f>TRUNC(E121*D121,1)</f>
        <v>14.5</v>
      </c>
      <c r="G121" s="31">
        <v>0</v>
      </c>
      <c r="H121" s="32">
        <f>TRUNC(G121*D121,1)</f>
        <v>0</v>
      </c>
      <c r="I121" s="31">
        <v>0</v>
      </c>
      <c r="J121" s="32">
        <f>TRUNC(I121*D121,1)</f>
        <v>0</v>
      </c>
      <c r="K121" s="31">
        <f>TRUNC(E121+G121+I121,1)</f>
        <v>14.5</v>
      </c>
      <c r="L121" s="32">
        <f>TRUNC(F121+H121+J121,1)</f>
        <v>14.5</v>
      </c>
      <c r="M121" s="34" t="s">
        <v>81</v>
      </c>
      <c r="N121" s="33" t="s">
        <v>414</v>
      </c>
      <c r="O121" s="33" t="s">
        <v>173</v>
      </c>
      <c r="P121" s="33" t="s">
        <v>137</v>
      </c>
      <c r="Q121" s="33" t="s">
        <v>137</v>
      </c>
      <c r="R121" s="33" t="s">
        <v>137</v>
      </c>
      <c r="S121">
        <v>0</v>
      </c>
      <c r="T121">
        <v>0</v>
      </c>
      <c r="U121">
        <v>0.06</v>
      </c>
      <c r="AV121" s="33" t="s">
        <v>81</v>
      </c>
      <c r="AW121" s="33" t="s">
        <v>430</v>
      </c>
      <c r="AX121" s="33" t="s">
        <v>81</v>
      </c>
      <c r="AY121" s="33" t="s">
        <v>81</v>
      </c>
    </row>
    <row r="122" spans="1:51" ht="30" customHeight="1" x14ac:dyDescent="0.3">
      <c r="A122" s="34" t="s">
        <v>177</v>
      </c>
      <c r="B122" s="34" t="s">
        <v>81</v>
      </c>
      <c r="C122" s="34" t="s">
        <v>81</v>
      </c>
      <c r="D122" s="30"/>
      <c r="E122" s="31"/>
      <c r="F122" s="32">
        <f>TRUNC(SUMIF(N120:N121, N119, F120:F121),0)</f>
        <v>256</v>
      </c>
      <c r="G122" s="31"/>
      <c r="H122" s="32">
        <f>TRUNC(SUMIF(N120:N121, N119, H120:H121),0)</f>
        <v>0</v>
      </c>
      <c r="I122" s="31"/>
      <c r="J122" s="32">
        <f>TRUNC(SUMIF(N120:N121, N119, J120:J121),0)</f>
        <v>0</v>
      </c>
      <c r="K122" s="31"/>
      <c r="L122" s="32">
        <f>F122+H122+J122</f>
        <v>256</v>
      </c>
      <c r="M122" s="34" t="s">
        <v>81</v>
      </c>
      <c r="N122" s="33" t="s">
        <v>178</v>
      </c>
      <c r="O122" s="33" t="s">
        <v>178</v>
      </c>
      <c r="P122" s="33" t="s">
        <v>81</v>
      </c>
      <c r="Q122" s="33" t="s">
        <v>81</v>
      </c>
      <c r="R122" s="33" t="s">
        <v>81</v>
      </c>
      <c r="AV122" s="33" t="s">
        <v>81</v>
      </c>
      <c r="AW122" s="33" t="s">
        <v>81</v>
      </c>
      <c r="AX122" s="33" t="s">
        <v>81</v>
      </c>
      <c r="AY122" s="33" t="s">
        <v>81</v>
      </c>
    </row>
    <row r="123" spans="1:51" ht="30" customHeight="1" x14ac:dyDescent="0.3">
      <c r="A123" s="30"/>
      <c r="B123" s="30"/>
      <c r="C123" s="30"/>
      <c r="D123" s="30"/>
      <c r="E123" s="31"/>
      <c r="F123" s="32"/>
      <c r="G123" s="31"/>
      <c r="H123" s="32"/>
      <c r="I123" s="31"/>
      <c r="J123" s="32"/>
      <c r="K123" s="31"/>
      <c r="L123" s="32"/>
      <c r="M123" s="30"/>
    </row>
    <row r="124" spans="1:51" ht="30" customHeight="1" x14ac:dyDescent="0.3">
      <c r="A124" s="266" t="s">
        <v>431</v>
      </c>
      <c r="B124" s="266"/>
      <c r="C124" s="266"/>
      <c r="D124" s="266"/>
      <c r="E124" s="267"/>
      <c r="F124" s="268"/>
      <c r="G124" s="267"/>
      <c r="H124" s="268"/>
      <c r="I124" s="267"/>
      <c r="J124" s="268"/>
      <c r="K124" s="267"/>
      <c r="L124" s="268"/>
      <c r="M124" s="266"/>
      <c r="N124" s="33" t="s">
        <v>417</v>
      </c>
    </row>
    <row r="125" spans="1:51" ht="30" customHeight="1" x14ac:dyDescent="0.3">
      <c r="A125" s="34" t="s">
        <v>49</v>
      </c>
      <c r="B125" s="34" t="s">
        <v>168</v>
      </c>
      <c r="C125" s="34" t="s">
        <v>3</v>
      </c>
      <c r="D125" s="30">
        <v>1.2E-2</v>
      </c>
      <c r="E125" s="31">
        <f>[1]단가대비표!O60</f>
        <v>0</v>
      </c>
      <c r="F125" s="32">
        <f>TRUNC(E125*D125,1)</f>
        <v>0</v>
      </c>
      <c r="G125" s="31">
        <f>[1]단가대비표!P60</f>
        <v>200386</v>
      </c>
      <c r="H125" s="32">
        <f>TRUNC(G125*D125,1)</f>
        <v>2404.6</v>
      </c>
      <c r="I125" s="31">
        <f>[1]단가대비표!V60</f>
        <v>0</v>
      </c>
      <c r="J125" s="32">
        <f>TRUNC(I125*D125,1)</f>
        <v>0</v>
      </c>
      <c r="K125" s="31">
        <f>TRUNC(E125+G125+I125,1)</f>
        <v>200386</v>
      </c>
      <c r="L125" s="32">
        <f>TRUNC(F125+H125+J125,1)</f>
        <v>2404.6</v>
      </c>
      <c r="M125" s="34" t="s">
        <v>81</v>
      </c>
      <c r="N125" s="33" t="s">
        <v>417</v>
      </c>
      <c r="O125" s="33" t="s">
        <v>432</v>
      </c>
      <c r="P125" s="33" t="s">
        <v>137</v>
      </c>
      <c r="Q125" s="33" t="s">
        <v>137</v>
      </c>
      <c r="R125" s="33" t="s">
        <v>138</v>
      </c>
      <c r="AV125" s="33" t="s">
        <v>81</v>
      </c>
      <c r="AW125" s="33" t="s">
        <v>433</v>
      </c>
      <c r="AX125" s="33" t="s">
        <v>81</v>
      </c>
      <c r="AY125" s="33" t="s">
        <v>81</v>
      </c>
    </row>
    <row r="126" spans="1:51" ht="30" customHeight="1" x14ac:dyDescent="0.3">
      <c r="A126" s="34" t="s">
        <v>4</v>
      </c>
      <c r="B126" s="34" t="s">
        <v>168</v>
      </c>
      <c r="C126" s="34" t="s">
        <v>3</v>
      </c>
      <c r="D126" s="30">
        <v>2E-3</v>
      </c>
      <c r="E126" s="31">
        <f>[1]단가대비표!O55</f>
        <v>0</v>
      </c>
      <c r="F126" s="32">
        <f>TRUNC(E126*D126,1)</f>
        <v>0</v>
      </c>
      <c r="G126" s="31">
        <f>[1]단가대비표!P55</f>
        <v>138989</v>
      </c>
      <c r="H126" s="32">
        <f>TRUNC(G126*D126,1)</f>
        <v>277.89999999999998</v>
      </c>
      <c r="I126" s="31">
        <f>[1]단가대비표!V55</f>
        <v>0</v>
      </c>
      <c r="J126" s="32">
        <f>TRUNC(I126*D126,1)</f>
        <v>0</v>
      </c>
      <c r="K126" s="31">
        <f>TRUNC(E126+G126+I126,1)</f>
        <v>138989</v>
      </c>
      <c r="L126" s="32">
        <f>TRUNC(F126+H126+J126,1)</f>
        <v>277.89999999999998</v>
      </c>
      <c r="M126" s="34" t="s">
        <v>81</v>
      </c>
      <c r="N126" s="33" t="s">
        <v>417</v>
      </c>
      <c r="O126" s="33" t="s">
        <v>171</v>
      </c>
      <c r="P126" s="33" t="s">
        <v>137</v>
      </c>
      <c r="Q126" s="33" t="s">
        <v>137</v>
      </c>
      <c r="R126" s="33" t="s">
        <v>138</v>
      </c>
      <c r="AV126" s="33" t="s">
        <v>81</v>
      </c>
      <c r="AW126" s="33" t="s">
        <v>434</v>
      </c>
      <c r="AX126" s="33" t="s">
        <v>81</v>
      </c>
      <c r="AY126" s="33" t="s">
        <v>81</v>
      </c>
    </row>
    <row r="127" spans="1:51" ht="30" customHeight="1" x14ac:dyDescent="0.3">
      <c r="A127" s="34" t="s">
        <v>177</v>
      </c>
      <c r="B127" s="34" t="s">
        <v>81</v>
      </c>
      <c r="C127" s="34" t="s">
        <v>81</v>
      </c>
      <c r="D127" s="30"/>
      <c r="E127" s="31"/>
      <c r="F127" s="32">
        <f>TRUNC(SUMIF(N125:N126, N124, F125:F126),0)</f>
        <v>0</v>
      </c>
      <c r="G127" s="31"/>
      <c r="H127" s="32">
        <f>TRUNC(SUMIF(N125:N126, N124, H125:H126),0)</f>
        <v>2682</v>
      </c>
      <c r="I127" s="31"/>
      <c r="J127" s="32">
        <f>TRUNC(SUMIF(N125:N126, N124, J125:J126),0)</f>
        <v>0</v>
      </c>
      <c r="K127" s="31"/>
      <c r="L127" s="32">
        <f>F127+H127+J127</f>
        <v>2682</v>
      </c>
      <c r="M127" s="34" t="s">
        <v>81</v>
      </c>
      <c r="N127" s="33" t="s">
        <v>178</v>
      </c>
      <c r="O127" s="33" t="s">
        <v>178</v>
      </c>
      <c r="P127" s="33" t="s">
        <v>81</v>
      </c>
      <c r="Q127" s="33" t="s">
        <v>81</v>
      </c>
      <c r="R127" s="33" t="s">
        <v>81</v>
      </c>
      <c r="AV127" s="33" t="s">
        <v>81</v>
      </c>
      <c r="AW127" s="33" t="s">
        <v>81</v>
      </c>
      <c r="AX127" s="33" t="s">
        <v>81</v>
      </c>
      <c r="AY127" s="33" t="s">
        <v>81</v>
      </c>
    </row>
    <row r="128" spans="1:51" ht="30" customHeight="1" x14ac:dyDescent="0.3">
      <c r="A128" s="30"/>
      <c r="B128" s="30"/>
      <c r="C128" s="30"/>
      <c r="D128" s="30"/>
      <c r="E128" s="31"/>
      <c r="F128" s="32"/>
      <c r="G128" s="31"/>
      <c r="H128" s="32"/>
      <c r="I128" s="31"/>
      <c r="J128" s="32"/>
      <c r="K128" s="31"/>
      <c r="L128" s="32"/>
      <c r="M128" s="30"/>
    </row>
    <row r="129" spans="1:51" ht="30" customHeight="1" x14ac:dyDescent="0.3">
      <c r="A129" s="266" t="s">
        <v>435</v>
      </c>
      <c r="B129" s="266"/>
      <c r="C129" s="266"/>
      <c r="D129" s="266"/>
      <c r="E129" s="267"/>
      <c r="F129" s="268"/>
      <c r="G129" s="267"/>
      <c r="H129" s="268"/>
      <c r="I129" s="267"/>
      <c r="J129" s="268"/>
      <c r="K129" s="267"/>
      <c r="L129" s="268"/>
      <c r="M129" s="266"/>
      <c r="N129" s="33" t="s">
        <v>249</v>
      </c>
    </row>
    <row r="130" spans="1:51" ht="30" customHeight="1" x14ac:dyDescent="0.3">
      <c r="A130" s="34" t="s">
        <v>18</v>
      </c>
      <c r="B130" s="34" t="s">
        <v>168</v>
      </c>
      <c r="C130" s="34" t="s">
        <v>3</v>
      </c>
      <c r="D130" s="30">
        <v>3.7100000000000001E-2</v>
      </c>
      <c r="E130" s="31">
        <f>[1]단가대비표!O61</f>
        <v>0</v>
      </c>
      <c r="F130" s="32">
        <f>TRUNC(E130*D130,1)</f>
        <v>0</v>
      </c>
      <c r="G130" s="31">
        <f>[1]단가대비표!P61</f>
        <v>206710</v>
      </c>
      <c r="H130" s="32">
        <f>TRUNC(G130*D130,1)</f>
        <v>7668.9</v>
      </c>
      <c r="I130" s="31">
        <f>[1]단가대비표!V61</f>
        <v>0</v>
      </c>
      <c r="J130" s="32">
        <f>TRUNC(I130*D130,1)</f>
        <v>0</v>
      </c>
      <c r="K130" s="31">
        <f t="shared" ref="K130:L132" si="9">TRUNC(E130+G130+I130,1)</f>
        <v>206710</v>
      </c>
      <c r="L130" s="32">
        <f t="shared" si="9"/>
        <v>7668.9</v>
      </c>
      <c r="M130" s="34" t="s">
        <v>244</v>
      </c>
      <c r="N130" s="33" t="s">
        <v>249</v>
      </c>
      <c r="O130" s="33" t="s">
        <v>170</v>
      </c>
      <c r="P130" s="33" t="s">
        <v>137</v>
      </c>
      <c r="Q130" s="33" t="s">
        <v>137</v>
      </c>
      <c r="R130" s="33" t="s">
        <v>138</v>
      </c>
      <c r="AV130" s="33" t="s">
        <v>81</v>
      </c>
      <c r="AW130" s="33" t="s">
        <v>436</v>
      </c>
      <c r="AX130" s="33" t="s">
        <v>81</v>
      </c>
      <c r="AY130" s="33" t="s">
        <v>81</v>
      </c>
    </row>
    <row r="131" spans="1:51" ht="30" customHeight="1" x14ac:dyDescent="0.3">
      <c r="A131" s="34" t="s">
        <v>4</v>
      </c>
      <c r="B131" s="34" t="s">
        <v>168</v>
      </c>
      <c r="C131" s="34" t="s">
        <v>3</v>
      </c>
      <c r="D131" s="30">
        <v>1.4E-2</v>
      </c>
      <c r="E131" s="31">
        <f>[1]단가대비표!O55</f>
        <v>0</v>
      </c>
      <c r="F131" s="32">
        <f>TRUNC(E131*D131,1)</f>
        <v>0</v>
      </c>
      <c r="G131" s="31">
        <f>[1]단가대비표!P55</f>
        <v>138989</v>
      </c>
      <c r="H131" s="32">
        <f>TRUNC(G131*D131,1)</f>
        <v>1945.8</v>
      </c>
      <c r="I131" s="31">
        <f>[1]단가대비표!V55</f>
        <v>0</v>
      </c>
      <c r="J131" s="32">
        <f>TRUNC(I131*D131,1)</f>
        <v>0</v>
      </c>
      <c r="K131" s="31">
        <f t="shared" si="9"/>
        <v>138989</v>
      </c>
      <c r="L131" s="32">
        <f t="shared" si="9"/>
        <v>1945.8</v>
      </c>
      <c r="M131" s="34" t="s">
        <v>244</v>
      </c>
      <c r="N131" s="33" t="s">
        <v>249</v>
      </c>
      <c r="O131" s="33" t="s">
        <v>171</v>
      </c>
      <c r="P131" s="33" t="s">
        <v>137</v>
      </c>
      <c r="Q131" s="33" t="s">
        <v>137</v>
      </c>
      <c r="R131" s="33" t="s">
        <v>138</v>
      </c>
      <c r="AV131" s="33" t="s">
        <v>81</v>
      </c>
      <c r="AW131" s="33" t="s">
        <v>437</v>
      </c>
      <c r="AX131" s="33" t="s">
        <v>81</v>
      </c>
      <c r="AY131" s="33" t="s">
        <v>81</v>
      </c>
    </row>
    <row r="132" spans="1:51" ht="30" customHeight="1" x14ac:dyDescent="0.3">
      <c r="A132" s="34" t="s">
        <v>438</v>
      </c>
      <c r="B132" s="34" t="s">
        <v>439</v>
      </c>
      <c r="C132" s="34" t="s">
        <v>165</v>
      </c>
      <c r="D132" s="30">
        <v>0.34499999999999997</v>
      </c>
      <c r="E132" s="31">
        <f>[1]단가대비표!O35</f>
        <v>2100</v>
      </c>
      <c r="F132" s="32">
        <f>TRUNC(E132*D132,1)</f>
        <v>724.5</v>
      </c>
      <c r="G132" s="31">
        <f>[1]단가대비표!P35</f>
        <v>0</v>
      </c>
      <c r="H132" s="32">
        <f>TRUNC(G132*D132,1)</f>
        <v>0</v>
      </c>
      <c r="I132" s="31">
        <f>[1]단가대비표!V35</f>
        <v>0</v>
      </c>
      <c r="J132" s="32">
        <f>TRUNC(I132*D132,1)</f>
        <v>0</v>
      </c>
      <c r="K132" s="31">
        <f t="shared" si="9"/>
        <v>2100</v>
      </c>
      <c r="L132" s="32">
        <f t="shared" si="9"/>
        <v>724.5</v>
      </c>
      <c r="M132" s="34" t="s">
        <v>81</v>
      </c>
      <c r="N132" s="33" t="s">
        <v>249</v>
      </c>
      <c r="O132" s="33" t="s">
        <v>440</v>
      </c>
      <c r="P132" s="33" t="s">
        <v>137</v>
      </c>
      <c r="Q132" s="33" t="s">
        <v>137</v>
      </c>
      <c r="R132" s="33" t="s">
        <v>138</v>
      </c>
      <c r="AV132" s="33" t="s">
        <v>81</v>
      </c>
      <c r="AW132" s="33" t="s">
        <v>441</v>
      </c>
      <c r="AX132" s="33" t="s">
        <v>81</v>
      </c>
      <c r="AY132" s="33" t="s">
        <v>81</v>
      </c>
    </row>
    <row r="133" spans="1:51" ht="30" customHeight="1" x14ac:dyDescent="0.3">
      <c r="A133" s="34" t="s">
        <v>177</v>
      </c>
      <c r="B133" s="34" t="s">
        <v>81</v>
      </c>
      <c r="C133" s="34" t="s">
        <v>81</v>
      </c>
      <c r="D133" s="30"/>
      <c r="E133" s="31"/>
      <c r="F133" s="32">
        <f>TRUNC(SUMIF(N130:N132, N129, F130:F132),0)</f>
        <v>724</v>
      </c>
      <c r="G133" s="31"/>
      <c r="H133" s="32">
        <f>TRUNC(SUMIF(N130:N132, N129, H130:H132),0)</f>
        <v>9614</v>
      </c>
      <c r="I133" s="31"/>
      <c r="J133" s="32">
        <f>TRUNC(SUMIF(N130:N132, N129, J130:J132),0)</f>
        <v>0</v>
      </c>
      <c r="K133" s="31"/>
      <c r="L133" s="32">
        <f>F133+H133+J133</f>
        <v>10338</v>
      </c>
      <c r="M133" s="34" t="s">
        <v>81</v>
      </c>
      <c r="N133" s="33" t="s">
        <v>178</v>
      </c>
      <c r="O133" s="33" t="s">
        <v>178</v>
      </c>
      <c r="P133" s="33" t="s">
        <v>81</v>
      </c>
      <c r="Q133" s="33" t="s">
        <v>81</v>
      </c>
      <c r="R133" s="33" t="s">
        <v>81</v>
      </c>
      <c r="AV133" s="33" t="s">
        <v>81</v>
      </c>
      <c r="AW133" s="33" t="s">
        <v>81</v>
      </c>
      <c r="AX133" s="33" t="s">
        <v>81</v>
      </c>
      <c r="AY133" s="33" t="s">
        <v>81</v>
      </c>
    </row>
    <row r="134" spans="1:51" ht="30" customHeight="1" x14ac:dyDescent="0.3">
      <c r="A134" s="30"/>
      <c r="B134" s="30"/>
      <c r="C134" s="30"/>
      <c r="D134" s="30"/>
      <c r="E134" s="31"/>
      <c r="F134" s="32"/>
      <c r="G134" s="31"/>
      <c r="H134" s="32"/>
      <c r="I134" s="31"/>
      <c r="J134" s="32"/>
      <c r="K134" s="31"/>
      <c r="L134" s="32"/>
      <c r="M134" s="30"/>
    </row>
    <row r="135" spans="1:51" ht="30" customHeight="1" x14ac:dyDescent="0.3">
      <c r="A135" s="266" t="s">
        <v>442</v>
      </c>
      <c r="B135" s="266"/>
      <c r="C135" s="266"/>
      <c r="D135" s="266"/>
      <c r="E135" s="267"/>
      <c r="F135" s="268"/>
      <c r="G135" s="267"/>
      <c r="H135" s="268"/>
      <c r="I135" s="267"/>
      <c r="J135" s="268"/>
      <c r="K135" s="267"/>
      <c r="L135" s="268"/>
      <c r="M135" s="266"/>
      <c r="N135" s="33" t="s">
        <v>256</v>
      </c>
    </row>
    <row r="136" spans="1:51" ht="30" customHeight="1" x14ac:dyDescent="0.3">
      <c r="A136" s="34" t="s">
        <v>18</v>
      </c>
      <c r="B136" s="34" t="s">
        <v>168</v>
      </c>
      <c r="C136" s="34" t="s">
        <v>3</v>
      </c>
      <c r="D136" s="30">
        <v>1.2E-2</v>
      </c>
      <c r="E136" s="31">
        <f>[1]단가대비표!O61</f>
        <v>0</v>
      </c>
      <c r="F136" s="32">
        <f>TRUNC(E136*D136,1)</f>
        <v>0</v>
      </c>
      <c r="G136" s="31">
        <f>[1]단가대비표!P61</f>
        <v>206710</v>
      </c>
      <c r="H136" s="32">
        <f>TRUNC(G136*D136,1)</f>
        <v>2480.5</v>
      </c>
      <c r="I136" s="31">
        <f>[1]단가대비표!V61</f>
        <v>0</v>
      </c>
      <c r="J136" s="32">
        <f>TRUNC(I136*D136,1)</f>
        <v>0</v>
      </c>
      <c r="K136" s="31">
        <f t="shared" ref="K136:L138" si="10">TRUNC(E136+G136+I136,1)</f>
        <v>206710</v>
      </c>
      <c r="L136" s="32">
        <f t="shared" si="10"/>
        <v>2480.5</v>
      </c>
      <c r="M136" s="34" t="s">
        <v>81</v>
      </c>
      <c r="N136" s="33" t="s">
        <v>256</v>
      </c>
      <c r="O136" s="33" t="s">
        <v>170</v>
      </c>
      <c r="P136" s="33" t="s">
        <v>137</v>
      </c>
      <c r="Q136" s="33" t="s">
        <v>137</v>
      </c>
      <c r="R136" s="33" t="s">
        <v>138</v>
      </c>
      <c r="V136">
        <v>1</v>
      </c>
      <c r="AV136" s="33" t="s">
        <v>81</v>
      </c>
      <c r="AW136" s="33" t="s">
        <v>443</v>
      </c>
      <c r="AX136" s="33" t="s">
        <v>81</v>
      </c>
      <c r="AY136" s="33" t="s">
        <v>81</v>
      </c>
    </row>
    <row r="137" spans="1:51" ht="30" customHeight="1" x14ac:dyDescent="0.3">
      <c r="A137" s="34" t="s">
        <v>4</v>
      </c>
      <c r="B137" s="34" t="s">
        <v>168</v>
      </c>
      <c r="C137" s="34" t="s">
        <v>3</v>
      </c>
      <c r="D137" s="30">
        <v>2E-3</v>
      </c>
      <c r="E137" s="31">
        <f>[1]단가대비표!O55</f>
        <v>0</v>
      </c>
      <c r="F137" s="32">
        <f>TRUNC(E137*D137,1)</f>
        <v>0</v>
      </c>
      <c r="G137" s="31">
        <f>[1]단가대비표!P55</f>
        <v>138989</v>
      </c>
      <c r="H137" s="32">
        <f>TRUNC(G137*D137,1)</f>
        <v>277.89999999999998</v>
      </c>
      <c r="I137" s="31">
        <f>[1]단가대비표!V55</f>
        <v>0</v>
      </c>
      <c r="J137" s="32">
        <f>TRUNC(I137*D137,1)</f>
        <v>0</v>
      </c>
      <c r="K137" s="31">
        <f t="shared" si="10"/>
        <v>138989</v>
      </c>
      <c r="L137" s="32">
        <f t="shared" si="10"/>
        <v>277.89999999999998</v>
      </c>
      <c r="M137" s="34" t="s">
        <v>81</v>
      </c>
      <c r="N137" s="33" t="s">
        <v>256</v>
      </c>
      <c r="O137" s="33" t="s">
        <v>171</v>
      </c>
      <c r="P137" s="33" t="s">
        <v>137</v>
      </c>
      <c r="Q137" s="33" t="s">
        <v>137</v>
      </c>
      <c r="R137" s="33" t="s">
        <v>138</v>
      </c>
      <c r="V137">
        <v>1</v>
      </c>
      <c r="AV137" s="33" t="s">
        <v>81</v>
      </c>
      <c r="AW137" s="33" t="s">
        <v>444</v>
      </c>
      <c r="AX137" s="33" t="s">
        <v>81</v>
      </c>
      <c r="AY137" s="33" t="s">
        <v>81</v>
      </c>
    </row>
    <row r="138" spans="1:51" ht="30" customHeight="1" x14ac:dyDescent="0.3">
      <c r="A138" s="34" t="s">
        <v>19</v>
      </c>
      <c r="B138" s="34" t="s">
        <v>362</v>
      </c>
      <c r="C138" s="34" t="s">
        <v>5</v>
      </c>
      <c r="D138" s="30">
        <v>1</v>
      </c>
      <c r="E138" s="31">
        <v>0</v>
      </c>
      <c r="F138" s="32">
        <f>TRUNC(E138*D138,1)</f>
        <v>0</v>
      </c>
      <c r="G138" s="31">
        <v>0</v>
      </c>
      <c r="H138" s="32">
        <f>TRUNC(G138*D138,1)</f>
        <v>0</v>
      </c>
      <c r="I138" s="31">
        <f>TRUNC(SUMIF(V136:V138, RIGHTB(O138, 1), H136:H138)*U138, 2)</f>
        <v>55.16</v>
      </c>
      <c r="J138" s="32">
        <f>TRUNC(I138*D138,1)</f>
        <v>55.1</v>
      </c>
      <c r="K138" s="31">
        <f t="shared" si="10"/>
        <v>55.1</v>
      </c>
      <c r="L138" s="32">
        <f t="shared" si="10"/>
        <v>55.1</v>
      </c>
      <c r="M138" s="34" t="s">
        <v>81</v>
      </c>
      <c r="N138" s="33" t="s">
        <v>256</v>
      </c>
      <c r="O138" s="33" t="s">
        <v>173</v>
      </c>
      <c r="P138" s="33" t="s">
        <v>137</v>
      </c>
      <c r="Q138" s="33" t="s">
        <v>137</v>
      </c>
      <c r="R138" s="33" t="s">
        <v>137</v>
      </c>
      <c r="S138">
        <v>1</v>
      </c>
      <c r="T138">
        <v>2</v>
      </c>
      <c r="U138">
        <v>0.02</v>
      </c>
      <c r="AV138" s="33" t="s">
        <v>81</v>
      </c>
      <c r="AW138" s="33" t="s">
        <v>445</v>
      </c>
      <c r="AX138" s="33" t="s">
        <v>81</v>
      </c>
      <c r="AY138" s="33" t="s">
        <v>81</v>
      </c>
    </row>
    <row r="139" spans="1:51" ht="30" customHeight="1" x14ac:dyDescent="0.3">
      <c r="A139" s="34" t="s">
        <v>177</v>
      </c>
      <c r="B139" s="34" t="s">
        <v>81</v>
      </c>
      <c r="C139" s="34" t="s">
        <v>81</v>
      </c>
      <c r="D139" s="30"/>
      <c r="E139" s="31"/>
      <c r="F139" s="32">
        <f>TRUNC(SUMIF(N136:N138, N135, F136:F138),0)</f>
        <v>0</v>
      </c>
      <c r="G139" s="31"/>
      <c r="H139" s="32">
        <f>TRUNC(SUMIF(N136:N138, N135, H136:H138),0)</f>
        <v>2758</v>
      </c>
      <c r="I139" s="31"/>
      <c r="J139" s="32">
        <f>TRUNC(SUMIF(N136:N138, N135, J136:J138),0)</f>
        <v>55</v>
      </c>
      <c r="K139" s="31"/>
      <c r="L139" s="32">
        <f>F139+H139+J139</f>
        <v>2813</v>
      </c>
      <c r="M139" s="34" t="s">
        <v>81</v>
      </c>
      <c r="N139" s="33" t="s">
        <v>178</v>
      </c>
      <c r="O139" s="33" t="s">
        <v>178</v>
      </c>
      <c r="P139" s="33" t="s">
        <v>81</v>
      </c>
      <c r="Q139" s="33" t="s">
        <v>81</v>
      </c>
      <c r="R139" s="33" t="s">
        <v>81</v>
      </c>
      <c r="AV139" s="33" t="s">
        <v>81</v>
      </c>
      <c r="AW139" s="33" t="s">
        <v>81</v>
      </c>
      <c r="AX139" s="33" t="s">
        <v>81</v>
      </c>
      <c r="AY139" s="33" t="s">
        <v>81</v>
      </c>
    </row>
    <row r="140" spans="1:51" ht="30" customHeight="1" x14ac:dyDescent="0.3">
      <c r="A140" s="30"/>
      <c r="B140" s="30"/>
      <c r="C140" s="30"/>
      <c r="D140" s="30"/>
      <c r="E140" s="31"/>
      <c r="F140" s="32"/>
      <c r="G140" s="31"/>
      <c r="H140" s="32"/>
      <c r="I140" s="31"/>
      <c r="J140" s="32"/>
      <c r="K140" s="31"/>
      <c r="L140" s="32"/>
      <c r="M140" s="30"/>
    </row>
    <row r="141" spans="1:51" ht="30" customHeight="1" x14ac:dyDescent="0.3">
      <c r="A141" s="266" t="s">
        <v>446</v>
      </c>
      <c r="B141" s="266"/>
      <c r="C141" s="266"/>
      <c r="D141" s="266"/>
      <c r="E141" s="267"/>
      <c r="F141" s="268"/>
      <c r="G141" s="267"/>
      <c r="H141" s="268"/>
      <c r="I141" s="267"/>
      <c r="J141" s="268"/>
      <c r="K141" s="267"/>
      <c r="L141" s="268"/>
      <c r="M141" s="266"/>
      <c r="N141" s="33" t="s">
        <v>260</v>
      </c>
    </row>
    <row r="142" spans="1:51" ht="30" customHeight="1" x14ac:dyDescent="0.3">
      <c r="A142" s="34" t="s">
        <v>18</v>
      </c>
      <c r="B142" s="34" t="s">
        <v>168</v>
      </c>
      <c r="C142" s="34" t="s">
        <v>3</v>
      </c>
      <c r="D142" s="30">
        <v>1.4E-2</v>
      </c>
      <c r="E142" s="31">
        <f>[1]단가대비표!O61</f>
        <v>0</v>
      </c>
      <c r="F142" s="32">
        <f>TRUNC(E142*D142,1)</f>
        <v>0</v>
      </c>
      <c r="G142" s="31">
        <f>[1]단가대비표!P61</f>
        <v>206710</v>
      </c>
      <c r="H142" s="32">
        <f>TRUNC(G142*D142,1)</f>
        <v>2893.9</v>
      </c>
      <c r="I142" s="31">
        <f>[1]단가대비표!V61</f>
        <v>0</v>
      </c>
      <c r="J142" s="32">
        <f>TRUNC(I142*D142,1)</f>
        <v>0</v>
      </c>
      <c r="K142" s="31">
        <f t="shared" ref="K142:L144" si="11">TRUNC(E142+G142+I142,1)</f>
        <v>206710</v>
      </c>
      <c r="L142" s="32">
        <f t="shared" si="11"/>
        <v>2893.9</v>
      </c>
      <c r="M142" s="34" t="s">
        <v>81</v>
      </c>
      <c r="N142" s="33" t="s">
        <v>260</v>
      </c>
      <c r="O142" s="33" t="s">
        <v>170</v>
      </c>
      <c r="P142" s="33" t="s">
        <v>137</v>
      </c>
      <c r="Q142" s="33" t="s">
        <v>137</v>
      </c>
      <c r="R142" s="33" t="s">
        <v>138</v>
      </c>
      <c r="V142">
        <v>1</v>
      </c>
      <c r="AV142" s="33" t="s">
        <v>81</v>
      </c>
      <c r="AW142" s="33" t="s">
        <v>447</v>
      </c>
      <c r="AX142" s="33" t="s">
        <v>81</v>
      </c>
      <c r="AY142" s="33" t="s">
        <v>81</v>
      </c>
    </row>
    <row r="143" spans="1:51" ht="30" customHeight="1" x14ac:dyDescent="0.3">
      <c r="A143" s="34" t="s">
        <v>4</v>
      </c>
      <c r="B143" s="34" t="s">
        <v>168</v>
      </c>
      <c r="C143" s="34" t="s">
        <v>3</v>
      </c>
      <c r="D143" s="30">
        <v>3.0000000000000001E-3</v>
      </c>
      <c r="E143" s="31">
        <f>[1]단가대비표!O55</f>
        <v>0</v>
      </c>
      <c r="F143" s="32">
        <f>TRUNC(E143*D143,1)</f>
        <v>0</v>
      </c>
      <c r="G143" s="31">
        <f>[1]단가대비표!P55</f>
        <v>138989</v>
      </c>
      <c r="H143" s="32">
        <f>TRUNC(G143*D143,1)</f>
        <v>416.9</v>
      </c>
      <c r="I143" s="31">
        <f>[1]단가대비표!V55</f>
        <v>0</v>
      </c>
      <c r="J143" s="32">
        <f>TRUNC(I143*D143,1)</f>
        <v>0</v>
      </c>
      <c r="K143" s="31">
        <f t="shared" si="11"/>
        <v>138989</v>
      </c>
      <c r="L143" s="32">
        <f t="shared" si="11"/>
        <v>416.9</v>
      </c>
      <c r="M143" s="34" t="s">
        <v>81</v>
      </c>
      <c r="N143" s="33" t="s">
        <v>260</v>
      </c>
      <c r="O143" s="33" t="s">
        <v>171</v>
      </c>
      <c r="P143" s="33" t="s">
        <v>137</v>
      </c>
      <c r="Q143" s="33" t="s">
        <v>137</v>
      </c>
      <c r="R143" s="33" t="s">
        <v>138</v>
      </c>
      <c r="V143">
        <v>1</v>
      </c>
      <c r="AV143" s="33" t="s">
        <v>81</v>
      </c>
      <c r="AW143" s="33" t="s">
        <v>448</v>
      </c>
      <c r="AX143" s="33" t="s">
        <v>81</v>
      </c>
      <c r="AY143" s="33" t="s">
        <v>81</v>
      </c>
    </row>
    <row r="144" spans="1:51" ht="30" customHeight="1" x14ac:dyDescent="0.3">
      <c r="A144" s="34" t="s">
        <v>19</v>
      </c>
      <c r="B144" s="34" t="s">
        <v>362</v>
      </c>
      <c r="C144" s="34" t="s">
        <v>5</v>
      </c>
      <c r="D144" s="30">
        <v>1</v>
      </c>
      <c r="E144" s="31">
        <v>0</v>
      </c>
      <c r="F144" s="32">
        <f>TRUNC(E144*D144,1)</f>
        <v>0</v>
      </c>
      <c r="G144" s="31">
        <v>0</v>
      </c>
      <c r="H144" s="32">
        <f>TRUNC(G144*D144,1)</f>
        <v>0</v>
      </c>
      <c r="I144" s="31">
        <f>TRUNC(SUMIF(V142:V144, RIGHTB(O144, 1), H142:H144)*U144, 2)</f>
        <v>66.209999999999994</v>
      </c>
      <c r="J144" s="32">
        <f>TRUNC(I144*D144,1)</f>
        <v>66.2</v>
      </c>
      <c r="K144" s="31">
        <f t="shared" si="11"/>
        <v>66.2</v>
      </c>
      <c r="L144" s="32">
        <f t="shared" si="11"/>
        <v>66.2</v>
      </c>
      <c r="M144" s="34" t="s">
        <v>81</v>
      </c>
      <c r="N144" s="33" t="s">
        <v>260</v>
      </c>
      <c r="O144" s="33" t="s">
        <v>173</v>
      </c>
      <c r="P144" s="33" t="s">
        <v>137</v>
      </c>
      <c r="Q144" s="33" t="s">
        <v>137</v>
      </c>
      <c r="R144" s="33" t="s">
        <v>137</v>
      </c>
      <c r="S144">
        <v>1</v>
      </c>
      <c r="T144">
        <v>2</v>
      </c>
      <c r="U144">
        <v>0.02</v>
      </c>
      <c r="AV144" s="33" t="s">
        <v>81</v>
      </c>
      <c r="AW144" s="33" t="s">
        <v>449</v>
      </c>
      <c r="AX144" s="33" t="s">
        <v>81</v>
      </c>
      <c r="AY144" s="33" t="s">
        <v>81</v>
      </c>
    </row>
    <row r="145" spans="1:51" ht="30" customHeight="1" x14ac:dyDescent="0.3">
      <c r="A145" s="34" t="s">
        <v>177</v>
      </c>
      <c r="B145" s="34" t="s">
        <v>81</v>
      </c>
      <c r="C145" s="34" t="s">
        <v>81</v>
      </c>
      <c r="D145" s="30"/>
      <c r="E145" s="31"/>
      <c r="F145" s="32">
        <f>TRUNC(SUMIF(N142:N144, N141, F142:F144),0)</f>
        <v>0</v>
      </c>
      <c r="G145" s="31"/>
      <c r="H145" s="32">
        <f>TRUNC(SUMIF(N142:N144, N141, H142:H144),0)</f>
        <v>3310</v>
      </c>
      <c r="I145" s="31"/>
      <c r="J145" s="32">
        <f>TRUNC(SUMIF(N142:N144, N141, J142:J144),0)</f>
        <v>66</v>
      </c>
      <c r="K145" s="31"/>
      <c r="L145" s="32">
        <f>F145+H145+J145</f>
        <v>3376</v>
      </c>
      <c r="M145" s="34" t="s">
        <v>81</v>
      </c>
      <c r="N145" s="33" t="s">
        <v>178</v>
      </c>
      <c r="O145" s="33" t="s">
        <v>178</v>
      </c>
      <c r="P145" s="33" t="s">
        <v>81</v>
      </c>
      <c r="Q145" s="33" t="s">
        <v>81</v>
      </c>
      <c r="R145" s="33" t="s">
        <v>81</v>
      </c>
      <c r="AV145" s="33" t="s">
        <v>81</v>
      </c>
      <c r="AW145" s="33" t="s">
        <v>81</v>
      </c>
      <c r="AX145" s="33" t="s">
        <v>81</v>
      </c>
      <c r="AY145" s="33" t="s">
        <v>81</v>
      </c>
    </row>
    <row r="146" spans="1:51" ht="30" customHeight="1" x14ac:dyDescent="0.3">
      <c r="A146" s="30"/>
      <c r="B146" s="30"/>
      <c r="C146" s="30"/>
      <c r="D146" s="30"/>
      <c r="E146" s="31"/>
      <c r="F146" s="32"/>
      <c r="G146" s="31"/>
      <c r="H146" s="32"/>
      <c r="I146" s="31"/>
      <c r="J146" s="32"/>
      <c r="K146" s="31"/>
      <c r="L146" s="32"/>
      <c r="M146" s="30"/>
    </row>
    <row r="147" spans="1:51" ht="30" customHeight="1" x14ac:dyDescent="0.3">
      <c r="A147" s="266" t="s">
        <v>450</v>
      </c>
      <c r="B147" s="266"/>
      <c r="C147" s="266"/>
      <c r="D147" s="266"/>
      <c r="E147" s="267"/>
      <c r="F147" s="268"/>
      <c r="G147" s="267"/>
      <c r="H147" s="268"/>
      <c r="I147" s="267"/>
      <c r="J147" s="268"/>
      <c r="K147" s="267"/>
      <c r="L147" s="268"/>
      <c r="M147" s="266"/>
      <c r="N147" s="33" t="s">
        <v>281</v>
      </c>
    </row>
    <row r="148" spans="1:51" ht="30" customHeight="1" x14ac:dyDescent="0.3">
      <c r="A148" s="34" t="s">
        <v>451</v>
      </c>
      <c r="B148" s="34" t="s">
        <v>452</v>
      </c>
      <c r="C148" s="34" t="s">
        <v>16</v>
      </c>
      <c r="D148" s="30">
        <v>1.1000000000000001</v>
      </c>
      <c r="E148" s="31">
        <f>[1]단가대비표!O11</f>
        <v>7342</v>
      </c>
      <c r="F148" s="32">
        <f>TRUNC(E148*D148,1)</f>
        <v>8076.2</v>
      </c>
      <c r="G148" s="31">
        <f>[1]단가대비표!P11</f>
        <v>0</v>
      </c>
      <c r="H148" s="32">
        <f>TRUNC(G148*D148,1)</f>
        <v>0</v>
      </c>
      <c r="I148" s="31">
        <f>[1]단가대비표!V11</f>
        <v>0</v>
      </c>
      <c r="J148" s="32">
        <f>TRUNC(I148*D148,1)</f>
        <v>0</v>
      </c>
      <c r="K148" s="31">
        <f>TRUNC(E148+G148+I148,1)</f>
        <v>7342</v>
      </c>
      <c r="L148" s="32">
        <f>TRUNC(F148+H148+J148,1)</f>
        <v>8076.2</v>
      </c>
      <c r="M148" s="34" t="s">
        <v>81</v>
      </c>
      <c r="N148" s="33" t="s">
        <v>281</v>
      </c>
      <c r="O148" s="33" t="s">
        <v>453</v>
      </c>
      <c r="P148" s="33" t="s">
        <v>137</v>
      </c>
      <c r="Q148" s="33" t="s">
        <v>137</v>
      </c>
      <c r="R148" s="33" t="s">
        <v>138</v>
      </c>
      <c r="AV148" s="33" t="s">
        <v>81</v>
      </c>
      <c r="AW148" s="33" t="s">
        <v>454</v>
      </c>
      <c r="AX148" s="33" t="s">
        <v>81</v>
      </c>
      <c r="AY148" s="33" t="s">
        <v>81</v>
      </c>
    </row>
    <row r="149" spans="1:51" ht="30" customHeight="1" x14ac:dyDescent="0.3">
      <c r="A149" s="34" t="s">
        <v>280</v>
      </c>
      <c r="B149" s="34" t="s">
        <v>455</v>
      </c>
      <c r="C149" s="34" t="s">
        <v>16</v>
      </c>
      <c r="D149" s="30">
        <v>1</v>
      </c>
      <c r="E149" s="31">
        <f>[1]일위대가목록!E41</f>
        <v>0</v>
      </c>
      <c r="F149" s="32">
        <f>TRUNC(E149*D149,1)</f>
        <v>0</v>
      </c>
      <c r="G149" s="31">
        <f>[1]일위대가목록!F41</f>
        <v>5584</v>
      </c>
      <c r="H149" s="32">
        <f>TRUNC(G149*D149,1)</f>
        <v>5584</v>
      </c>
      <c r="I149" s="31">
        <f>[1]일위대가목록!G41</f>
        <v>0</v>
      </c>
      <c r="J149" s="32">
        <f>TRUNC(I149*D149,1)</f>
        <v>0</v>
      </c>
      <c r="K149" s="31">
        <f>TRUNC(E149+G149+I149,1)</f>
        <v>5584</v>
      </c>
      <c r="L149" s="32">
        <f>TRUNC(F149+H149+J149,1)</f>
        <v>5584</v>
      </c>
      <c r="M149" s="34" t="s">
        <v>81</v>
      </c>
      <c r="N149" s="33" t="s">
        <v>281</v>
      </c>
      <c r="O149" s="33" t="s">
        <v>456</v>
      </c>
      <c r="P149" s="33" t="s">
        <v>138</v>
      </c>
      <c r="Q149" s="33" t="s">
        <v>137</v>
      </c>
      <c r="R149" s="33" t="s">
        <v>137</v>
      </c>
      <c r="AV149" s="33" t="s">
        <v>81</v>
      </c>
      <c r="AW149" s="33" t="s">
        <v>457</v>
      </c>
      <c r="AX149" s="33" t="s">
        <v>81</v>
      </c>
      <c r="AY149" s="33" t="s">
        <v>81</v>
      </c>
    </row>
    <row r="150" spans="1:51" ht="30" customHeight="1" x14ac:dyDescent="0.3">
      <c r="A150" s="34" t="s">
        <v>177</v>
      </c>
      <c r="B150" s="34" t="s">
        <v>81</v>
      </c>
      <c r="C150" s="34" t="s">
        <v>81</v>
      </c>
      <c r="D150" s="30"/>
      <c r="E150" s="31"/>
      <c r="F150" s="32">
        <f>TRUNC(SUMIF(N148:N149, N147, F148:F149),0)</f>
        <v>8076</v>
      </c>
      <c r="G150" s="31"/>
      <c r="H150" s="32">
        <f>TRUNC(SUMIF(N148:N149, N147, H148:H149),0)</f>
        <v>5584</v>
      </c>
      <c r="I150" s="31"/>
      <c r="J150" s="32">
        <f>TRUNC(SUMIF(N148:N149, N147, J148:J149),0)</f>
        <v>0</v>
      </c>
      <c r="K150" s="31"/>
      <c r="L150" s="32">
        <f>F150+H150+J150</f>
        <v>13660</v>
      </c>
      <c r="M150" s="34" t="s">
        <v>81</v>
      </c>
      <c r="N150" s="33" t="s">
        <v>178</v>
      </c>
      <c r="O150" s="33" t="s">
        <v>178</v>
      </c>
      <c r="P150" s="33" t="s">
        <v>81</v>
      </c>
      <c r="Q150" s="33" t="s">
        <v>81</v>
      </c>
      <c r="R150" s="33" t="s">
        <v>81</v>
      </c>
      <c r="AV150" s="33" t="s">
        <v>81</v>
      </c>
      <c r="AW150" s="33" t="s">
        <v>81</v>
      </c>
      <c r="AX150" s="33" t="s">
        <v>81</v>
      </c>
      <c r="AY150" s="33" t="s">
        <v>81</v>
      </c>
    </row>
    <row r="151" spans="1:51" ht="30" customHeight="1" x14ac:dyDescent="0.3">
      <c r="A151" s="30"/>
      <c r="B151" s="30"/>
      <c r="C151" s="30"/>
      <c r="D151" s="30"/>
      <c r="E151" s="31"/>
      <c r="F151" s="32"/>
      <c r="G151" s="31"/>
      <c r="H151" s="32"/>
      <c r="I151" s="31"/>
      <c r="J151" s="32"/>
      <c r="K151" s="31"/>
      <c r="L151" s="32"/>
      <c r="M151" s="30"/>
    </row>
    <row r="152" spans="1:51" ht="30" customHeight="1" x14ac:dyDescent="0.3">
      <c r="A152" s="266" t="s">
        <v>458</v>
      </c>
      <c r="B152" s="266"/>
      <c r="C152" s="266"/>
      <c r="D152" s="266"/>
      <c r="E152" s="267"/>
      <c r="F152" s="268"/>
      <c r="G152" s="267"/>
      <c r="H152" s="268"/>
      <c r="I152" s="267"/>
      <c r="J152" s="268"/>
      <c r="K152" s="267"/>
      <c r="L152" s="268"/>
      <c r="M152" s="266"/>
      <c r="N152" s="33" t="s">
        <v>176</v>
      </c>
    </row>
    <row r="153" spans="1:51" ht="30" customHeight="1" x14ac:dyDescent="0.3">
      <c r="A153" s="34" t="s">
        <v>18</v>
      </c>
      <c r="B153" s="34" t="s">
        <v>168</v>
      </c>
      <c r="C153" s="34" t="s">
        <v>3</v>
      </c>
      <c r="D153" s="30">
        <v>3.3000000000000002E-2</v>
      </c>
      <c r="E153" s="31">
        <f>[1]단가대비표!O61</f>
        <v>0</v>
      </c>
      <c r="F153" s="32">
        <f>TRUNC(E153*D153,1)</f>
        <v>0</v>
      </c>
      <c r="G153" s="31">
        <f>[1]단가대비표!P61</f>
        <v>206710</v>
      </c>
      <c r="H153" s="32">
        <f>TRUNC(G153*D153,1)</f>
        <v>6821.4</v>
      </c>
      <c r="I153" s="31">
        <f>[1]단가대비표!V61</f>
        <v>0</v>
      </c>
      <c r="J153" s="32">
        <f>TRUNC(I153*D153,1)</f>
        <v>0</v>
      </c>
      <c r="K153" s="31">
        <f t="shared" ref="K153:L156" si="12">TRUNC(E153+G153+I153,1)</f>
        <v>206710</v>
      </c>
      <c r="L153" s="32">
        <f t="shared" si="12"/>
        <v>6821.4</v>
      </c>
      <c r="M153" s="34" t="s">
        <v>81</v>
      </c>
      <c r="N153" s="33" t="s">
        <v>176</v>
      </c>
      <c r="O153" s="33" t="s">
        <v>170</v>
      </c>
      <c r="P153" s="33" t="s">
        <v>137</v>
      </c>
      <c r="Q153" s="33" t="s">
        <v>137</v>
      </c>
      <c r="R153" s="33" t="s">
        <v>138</v>
      </c>
      <c r="V153">
        <v>1</v>
      </c>
      <c r="AV153" s="33" t="s">
        <v>81</v>
      </c>
      <c r="AW153" s="33" t="s">
        <v>459</v>
      </c>
      <c r="AX153" s="33" t="s">
        <v>81</v>
      </c>
      <c r="AY153" s="33" t="s">
        <v>81</v>
      </c>
    </row>
    <row r="154" spans="1:51" ht="30" customHeight="1" x14ac:dyDescent="0.3">
      <c r="A154" s="34" t="s">
        <v>4</v>
      </c>
      <c r="B154" s="34" t="s">
        <v>168</v>
      </c>
      <c r="C154" s="34" t="s">
        <v>3</v>
      </c>
      <c r="D154" s="30">
        <v>1.6E-2</v>
      </c>
      <c r="E154" s="31">
        <f>[1]단가대비표!O55</f>
        <v>0</v>
      </c>
      <c r="F154" s="32">
        <f>TRUNC(E154*D154,1)</f>
        <v>0</v>
      </c>
      <c r="G154" s="31">
        <f>[1]단가대비표!P55</f>
        <v>138989</v>
      </c>
      <c r="H154" s="32">
        <f>TRUNC(G154*D154,1)</f>
        <v>2223.8000000000002</v>
      </c>
      <c r="I154" s="31">
        <f>[1]단가대비표!V55</f>
        <v>0</v>
      </c>
      <c r="J154" s="32">
        <f>TRUNC(I154*D154,1)</f>
        <v>0</v>
      </c>
      <c r="K154" s="31">
        <f t="shared" si="12"/>
        <v>138989</v>
      </c>
      <c r="L154" s="32">
        <f t="shared" si="12"/>
        <v>2223.8000000000002</v>
      </c>
      <c r="M154" s="34" t="s">
        <v>81</v>
      </c>
      <c r="N154" s="33" t="s">
        <v>176</v>
      </c>
      <c r="O154" s="33" t="s">
        <v>171</v>
      </c>
      <c r="P154" s="33" t="s">
        <v>137</v>
      </c>
      <c r="Q154" s="33" t="s">
        <v>137</v>
      </c>
      <c r="R154" s="33" t="s">
        <v>138</v>
      </c>
      <c r="V154">
        <v>1</v>
      </c>
      <c r="AV154" s="33" t="s">
        <v>81</v>
      </c>
      <c r="AW154" s="33" t="s">
        <v>460</v>
      </c>
      <c r="AX154" s="33" t="s">
        <v>81</v>
      </c>
      <c r="AY154" s="33" t="s">
        <v>81</v>
      </c>
    </row>
    <row r="155" spans="1:51" ht="30" customHeight="1" x14ac:dyDescent="0.3">
      <c r="A155" s="34" t="s">
        <v>19</v>
      </c>
      <c r="B155" s="34" t="s">
        <v>172</v>
      </c>
      <c r="C155" s="34" t="s">
        <v>5</v>
      </c>
      <c r="D155" s="30">
        <v>1</v>
      </c>
      <c r="E155" s="31">
        <v>0</v>
      </c>
      <c r="F155" s="32">
        <f>TRUNC(E155*D155,1)</f>
        <v>0</v>
      </c>
      <c r="G155" s="31">
        <v>0</v>
      </c>
      <c r="H155" s="32">
        <f>TRUNC(G155*D155,1)</f>
        <v>0</v>
      </c>
      <c r="I155" s="31">
        <f>TRUNC(SUMIF(V153:V156, RIGHTB(O155, 1), H153:H156)*U155, 2)</f>
        <v>90.45</v>
      </c>
      <c r="J155" s="32">
        <f>TRUNC(I155*D155,1)</f>
        <v>90.4</v>
      </c>
      <c r="K155" s="31">
        <f t="shared" si="12"/>
        <v>90.4</v>
      </c>
      <c r="L155" s="32">
        <f t="shared" si="12"/>
        <v>90.4</v>
      </c>
      <c r="M155" s="34" t="s">
        <v>81</v>
      </c>
      <c r="N155" s="33" t="s">
        <v>176</v>
      </c>
      <c r="O155" s="33" t="s">
        <v>173</v>
      </c>
      <c r="P155" s="33" t="s">
        <v>137</v>
      </c>
      <c r="Q155" s="33" t="s">
        <v>137</v>
      </c>
      <c r="R155" s="33" t="s">
        <v>137</v>
      </c>
      <c r="S155">
        <v>1</v>
      </c>
      <c r="T155">
        <v>2</v>
      </c>
      <c r="U155">
        <v>0.01</v>
      </c>
      <c r="AV155" s="33" t="s">
        <v>81</v>
      </c>
      <c r="AW155" s="33" t="s">
        <v>461</v>
      </c>
      <c r="AX155" s="33" t="s">
        <v>81</v>
      </c>
      <c r="AY155" s="33" t="s">
        <v>81</v>
      </c>
    </row>
    <row r="156" spans="1:51" ht="30" customHeight="1" x14ac:dyDescent="0.3">
      <c r="A156" s="34" t="s">
        <v>462</v>
      </c>
      <c r="B156" s="34" t="s">
        <v>463</v>
      </c>
      <c r="C156" s="34" t="s">
        <v>16</v>
      </c>
      <c r="D156" s="30">
        <v>1.05</v>
      </c>
      <c r="E156" s="31">
        <f>[1]단가대비표!O15</f>
        <v>1728</v>
      </c>
      <c r="F156" s="32">
        <f>TRUNC(E156*D156,1)</f>
        <v>1814.4</v>
      </c>
      <c r="G156" s="31">
        <f>[1]단가대비표!P15</f>
        <v>0</v>
      </c>
      <c r="H156" s="32">
        <f>TRUNC(G156*D156,1)</f>
        <v>0</v>
      </c>
      <c r="I156" s="31">
        <f>[1]단가대비표!V15</f>
        <v>0</v>
      </c>
      <c r="J156" s="32">
        <f>TRUNC(I156*D156,1)</f>
        <v>0</v>
      </c>
      <c r="K156" s="31">
        <f t="shared" si="12"/>
        <v>1728</v>
      </c>
      <c r="L156" s="32">
        <f t="shared" si="12"/>
        <v>1814.4</v>
      </c>
      <c r="M156" s="34" t="s">
        <v>81</v>
      </c>
      <c r="N156" s="33" t="s">
        <v>176</v>
      </c>
      <c r="O156" s="33" t="s">
        <v>464</v>
      </c>
      <c r="P156" s="33" t="s">
        <v>137</v>
      </c>
      <c r="Q156" s="33" t="s">
        <v>137</v>
      </c>
      <c r="R156" s="33" t="s">
        <v>138</v>
      </c>
      <c r="AV156" s="33" t="s">
        <v>81</v>
      </c>
      <c r="AW156" s="33" t="s">
        <v>465</v>
      </c>
      <c r="AX156" s="33" t="s">
        <v>81</v>
      </c>
      <c r="AY156" s="33" t="s">
        <v>81</v>
      </c>
    </row>
    <row r="157" spans="1:51" ht="30" customHeight="1" x14ac:dyDescent="0.3">
      <c r="A157" s="34" t="s">
        <v>177</v>
      </c>
      <c r="B157" s="34" t="s">
        <v>81</v>
      </c>
      <c r="C157" s="34" t="s">
        <v>81</v>
      </c>
      <c r="D157" s="30"/>
      <c r="E157" s="31"/>
      <c r="F157" s="32">
        <f>TRUNC(SUMIF(N153:N156, N152, F153:F156),0)</f>
        <v>1814</v>
      </c>
      <c r="G157" s="31"/>
      <c r="H157" s="32">
        <f>TRUNC(SUMIF(N153:N156, N152, H153:H156),0)</f>
        <v>9045</v>
      </c>
      <c r="I157" s="31"/>
      <c r="J157" s="32">
        <f>TRUNC(SUMIF(N153:N156, N152, J153:J156),0)</f>
        <v>90</v>
      </c>
      <c r="K157" s="31"/>
      <c r="L157" s="32">
        <f>F157+H157+J157</f>
        <v>10949</v>
      </c>
      <c r="M157" s="34" t="s">
        <v>81</v>
      </c>
      <c r="N157" s="33" t="s">
        <v>178</v>
      </c>
      <c r="O157" s="33" t="s">
        <v>178</v>
      </c>
      <c r="P157" s="33" t="s">
        <v>81</v>
      </c>
      <c r="Q157" s="33" t="s">
        <v>81</v>
      </c>
      <c r="R157" s="33" t="s">
        <v>81</v>
      </c>
      <c r="AV157" s="33" t="s">
        <v>81</v>
      </c>
      <c r="AW157" s="33" t="s">
        <v>81</v>
      </c>
      <c r="AX157" s="33" t="s">
        <v>81</v>
      </c>
      <c r="AY157" s="33" t="s">
        <v>81</v>
      </c>
    </row>
    <row r="158" spans="1:51" ht="30" customHeight="1" x14ac:dyDescent="0.3">
      <c r="A158" s="30"/>
      <c r="B158" s="30"/>
      <c r="C158" s="30"/>
      <c r="D158" s="30"/>
      <c r="E158" s="31"/>
      <c r="F158" s="32"/>
      <c r="G158" s="31"/>
      <c r="H158" s="32"/>
      <c r="I158" s="31"/>
      <c r="J158" s="32"/>
      <c r="K158" s="31"/>
      <c r="L158" s="32"/>
      <c r="M158" s="30"/>
    </row>
    <row r="159" spans="1:51" ht="30" customHeight="1" x14ac:dyDescent="0.3">
      <c r="A159" s="266" t="s">
        <v>466</v>
      </c>
      <c r="B159" s="266"/>
      <c r="C159" s="266"/>
      <c r="D159" s="266"/>
      <c r="E159" s="267"/>
      <c r="F159" s="268"/>
      <c r="G159" s="267"/>
      <c r="H159" s="268"/>
      <c r="I159" s="267"/>
      <c r="J159" s="268"/>
      <c r="K159" s="267"/>
      <c r="L159" s="268"/>
      <c r="M159" s="266"/>
      <c r="N159" s="33" t="s">
        <v>456</v>
      </c>
    </row>
    <row r="160" spans="1:51" ht="30" customHeight="1" x14ac:dyDescent="0.3">
      <c r="A160" s="34" t="s">
        <v>18</v>
      </c>
      <c r="B160" s="34" t="s">
        <v>168</v>
      </c>
      <c r="C160" s="34" t="s">
        <v>3</v>
      </c>
      <c r="D160" s="30">
        <v>2.5000000000000001E-2</v>
      </c>
      <c r="E160" s="31">
        <f>[1]단가대비표!O61</f>
        <v>0</v>
      </c>
      <c r="F160" s="32">
        <f>TRUNC(E160*D160,1)</f>
        <v>0</v>
      </c>
      <c r="G160" s="31">
        <f>[1]단가대비표!P61</f>
        <v>206710</v>
      </c>
      <c r="H160" s="32">
        <f>TRUNC(G160*D160,1)</f>
        <v>5167.7</v>
      </c>
      <c r="I160" s="31">
        <f>[1]단가대비표!V61</f>
        <v>0</v>
      </c>
      <c r="J160" s="32">
        <f>TRUNC(I160*D160,1)</f>
        <v>0</v>
      </c>
      <c r="K160" s="31">
        <f>TRUNC(E160+G160+I160,1)</f>
        <v>206710</v>
      </c>
      <c r="L160" s="32">
        <f>TRUNC(F160+H160+J160,1)</f>
        <v>5167.7</v>
      </c>
      <c r="M160" s="34" t="s">
        <v>81</v>
      </c>
      <c r="N160" s="33" t="s">
        <v>456</v>
      </c>
      <c r="O160" s="33" t="s">
        <v>170</v>
      </c>
      <c r="P160" s="33" t="s">
        <v>137</v>
      </c>
      <c r="Q160" s="33" t="s">
        <v>137</v>
      </c>
      <c r="R160" s="33" t="s">
        <v>138</v>
      </c>
      <c r="AV160" s="33" t="s">
        <v>81</v>
      </c>
      <c r="AW160" s="33" t="s">
        <v>467</v>
      </c>
      <c r="AX160" s="33" t="s">
        <v>81</v>
      </c>
      <c r="AY160" s="33" t="s">
        <v>81</v>
      </c>
    </row>
    <row r="161" spans="1:51" ht="30" customHeight="1" x14ac:dyDescent="0.3">
      <c r="A161" s="34" t="s">
        <v>4</v>
      </c>
      <c r="B161" s="34" t="s">
        <v>168</v>
      </c>
      <c r="C161" s="34" t="s">
        <v>3</v>
      </c>
      <c r="D161" s="30">
        <v>3.0000000000000001E-3</v>
      </c>
      <c r="E161" s="31">
        <f>[1]단가대비표!O55</f>
        <v>0</v>
      </c>
      <c r="F161" s="32">
        <f>TRUNC(E161*D161,1)</f>
        <v>0</v>
      </c>
      <c r="G161" s="31">
        <f>[1]단가대비표!P55</f>
        <v>138989</v>
      </c>
      <c r="H161" s="32">
        <f>TRUNC(G161*D161,1)</f>
        <v>416.9</v>
      </c>
      <c r="I161" s="31">
        <f>[1]단가대비표!V55</f>
        <v>0</v>
      </c>
      <c r="J161" s="32">
        <f>TRUNC(I161*D161,1)</f>
        <v>0</v>
      </c>
      <c r="K161" s="31">
        <f>TRUNC(E161+G161+I161,1)</f>
        <v>138989</v>
      </c>
      <c r="L161" s="32">
        <f>TRUNC(F161+H161+J161,1)</f>
        <v>416.9</v>
      </c>
      <c r="M161" s="34" t="s">
        <v>81</v>
      </c>
      <c r="N161" s="33" t="s">
        <v>456</v>
      </c>
      <c r="O161" s="33" t="s">
        <v>171</v>
      </c>
      <c r="P161" s="33" t="s">
        <v>137</v>
      </c>
      <c r="Q161" s="33" t="s">
        <v>137</v>
      </c>
      <c r="R161" s="33" t="s">
        <v>138</v>
      </c>
      <c r="AV161" s="33" t="s">
        <v>81</v>
      </c>
      <c r="AW161" s="33" t="s">
        <v>468</v>
      </c>
      <c r="AX161" s="33" t="s">
        <v>81</v>
      </c>
      <c r="AY161" s="33" t="s">
        <v>81</v>
      </c>
    </row>
    <row r="162" spans="1:51" ht="30" customHeight="1" x14ac:dyDescent="0.3">
      <c r="A162" s="34" t="s">
        <v>177</v>
      </c>
      <c r="B162" s="34" t="s">
        <v>81</v>
      </c>
      <c r="C162" s="34" t="s">
        <v>81</v>
      </c>
      <c r="D162" s="30"/>
      <c r="E162" s="31"/>
      <c r="F162" s="32">
        <f>TRUNC(SUMIF(N160:N161, N159, F160:F161),0)</f>
        <v>0</v>
      </c>
      <c r="G162" s="31"/>
      <c r="H162" s="32">
        <f>TRUNC(SUMIF(N160:N161, N159, H160:H161),0)</f>
        <v>5584</v>
      </c>
      <c r="I162" s="31"/>
      <c r="J162" s="32">
        <f>TRUNC(SUMIF(N160:N161, N159, J160:J161),0)</f>
        <v>0</v>
      </c>
      <c r="K162" s="31"/>
      <c r="L162" s="32">
        <f>F162+H162+J162</f>
        <v>5584</v>
      </c>
      <c r="M162" s="34" t="s">
        <v>81</v>
      </c>
      <c r="N162" s="33" t="s">
        <v>178</v>
      </c>
      <c r="O162" s="33" t="s">
        <v>178</v>
      </c>
      <c r="P162" s="33" t="s">
        <v>81</v>
      </c>
      <c r="Q162" s="33" t="s">
        <v>81</v>
      </c>
      <c r="R162" s="33" t="s">
        <v>81</v>
      </c>
      <c r="AV162" s="33" t="s">
        <v>81</v>
      </c>
      <c r="AW162" s="33" t="s">
        <v>81</v>
      </c>
      <c r="AX162" s="33" t="s">
        <v>81</v>
      </c>
      <c r="AY162" s="33" t="s">
        <v>81</v>
      </c>
    </row>
    <row r="163" spans="1:51" ht="30" customHeight="1" x14ac:dyDescent="0.3">
      <c r="A163" s="30"/>
      <c r="B163" s="30"/>
      <c r="C163" s="30"/>
      <c r="D163" s="30"/>
      <c r="E163" s="31"/>
      <c r="F163" s="32"/>
      <c r="G163" s="31"/>
      <c r="H163" s="32"/>
      <c r="I163" s="31"/>
      <c r="J163" s="32"/>
      <c r="K163" s="31"/>
      <c r="L163" s="32"/>
      <c r="M163" s="30"/>
    </row>
    <row r="164" spans="1:51" ht="30" customHeight="1" x14ac:dyDescent="0.3">
      <c r="A164" s="266" t="s">
        <v>469</v>
      </c>
      <c r="B164" s="266"/>
      <c r="C164" s="266"/>
      <c r="D164" s="266"/>
      <c r="E164" s="267"/>
      <c r="F164" s="268"/>
      <c r="G164" s="267"/>
      <c r="H164" s="268"/>
      <c r="I164" s="267"/>
      <c r="J164" s="268"/>
      <c r="K164" s="267"/>
      <c r="L164" s="268"/>
      <c r="M164" s="266"/>
      <c r="N164" s="33" t="s">
        <v>307</v>
      </c>
    </row>
    <row r="165" spans="1:51" ht="30" customHeight="1" x14ac:dyDescent="0.3">
      <c r="A165" s="34" t="s">
        <v>39</v>
      </c>
      <c r="B165" s="34" t="s">
        <v>168</v>
      </c>
      <c r="C165" s="34" t="s">
        <v>3</v>
      </c>
      <c r="D165" s="30">
        <v>7.0000000000000007E-2</v>
      </c>
      <c r="E165" s="31">
        <f>[1]단가대비표!O57</f>
        <v>0</v>
      </c>
      <c r="F165" s="32">
        <f>TRUNC(E165*D165,1)</f>
        <v>0</v>
      </c>
      <c r="G165" s="31">
        <f>[1]단가대비표!P57</f>
        <v>217895</v>
      </c>
      <c r="H165" s="32">
        <f>TRUNC(G165*D165,1)</f>
        <v>15252.6</v>
      </c>
      <c r="I165" s="31">
        <f>[1]단가대비표!V57</f>
        <v>0</v>
      </c>
      <c r="J165" s="32">
        <f>TRUNC(I165*D165,1)</f>
        <v>0</v>
      </c>
      <c r="K165" s="31">
        <f t="shared" ref="K165:L167" si="13">TRUNC(E165+G165+I165,1)</f>
        <v>217895</v>
      </c>
      <c r="L165" s="32">
        <f t="shared" si="13"/>
        <v>15252.6</v>
      </c>
      <c r="M165" s="34" t="s">
        <v>81</v>
      </c>
      <c r="N165" s="33" t="s">
        <v>307</v>
      </c>
      <c r="O165" s="33" t="s">
        <v>402</v>
      </c>
      <c r="P165" s="33" t="s">
        <v>137</v>
      </c>
      <c r="Q165" s="33" t="s">
        <v>137</v>
      </c>
      <c r="R165" s="33" t="s">
        <v>138</v>
      </c>
      <c r="V165">
        <v>1</v>
      </c>
      <c r="AV165" s="33" t="s">
        <v>81</v>
      </c>
      <c r="AW165" s="33" t="s">
        <v>470</v>
      </c>
      <c r="AX165" s="33" t="s">
        <v>81</v>
      </c>
      <c r="AY165" s="33" t="s">
        <v>81</v>
      </c>
    </row>
    <row r="166" spans="1:51" ht="30" customHeight="1" x14ac:dyDescent="0.3">
      <c r="A166" s="34" t="s">
        <v>4</v>
      </c>
      <c r="B166" s="34" t="s">
        <v>168</v>
      </c>
      <c r="C166" s="34" t="s">
        <v>3</v>
      </c>
      <c r="D166" s="30">
        <v>7.0000000000000001E-3</v>
      </c>
      <c r="E166" s="31">
        <f>[1]단가대비표!O55</f>
        <v>0</v>
      </c>
      <c r="F166" s="32">
        <f>TRUNC(E166*D166,1)</f>
        <v>0</v>
      </c>
      <c r="G166" s="31">
        <f>[1]단가대비표!P55</f>
        <v>138989</v>
      </c>
      <c r="H166" s="32">
        <f>TRUNC(G166*D166,1)</f>
        <v>972.9</v>
      </c>
      <c r="I166" s="31">
        <f>[1]단가대비표!V55</f>
        <v>0</v>
      </c>
      <c r="J166" s="32">
        <f>TRUNC(I166*D166,1)</f>
        <v>0</v>
      </c>
      <c r="K166" s="31">
        <f t="shared" si="13"/>
        <v>138989</v>
      </c>
      <c r="L166" s="32">
        <f t="shared" si="13"/>
        <v>972.9</v>
      </c>
      <c r="M166" s="34" t="s">
        <v>81</v>
      </c>
      <c r="N166" s="33" t="s">
        <v>307</v>
      </c>
      <c r="O166" s="33" t="s">
        <v>171</v>
      </c>
      <c r="P166" s="33" t="s">
        <v>137</v>
      </c>
      <c r="Q166" s="33" t="s">
        <v>137</v>
      </c>
      <c r="R166" s="33" t="s">
        <v>138</v>
      </c>
      <c r="V166">
        <v>1</v>
      </c>
      <c r="AV166" s="33" t="s">
        <v>81</v>
      </c>
      <c r="AW166" s="33" t="s">
        <v>471</v>
      </c>
      <c r="AX166" s="33" t="s">
        <v>81</v>
      </c>
      <c r="AY166" s="33" t="s">
        <v>81</v>
      </c>
    </row>
    <row r="167" spans="1:51" ht="30" customHeight="1" x14ac:dyDescent="0.3">
      <c r="A167" s="34" t="s">
        <v>19</v>
      </c>
      <c r="B167" s="34" t="s">
        <v>362</v>
      </c>
      <c r="C167" s="34" t="s">
        <v>5</v>
      </c>
      <c r="D167" s="30">
        <v>1</v>
      </c>
      <c r="E167" s="31">
        <v>0</v>
      </c>
      <c r="F167" s="32">
        <f>TRUNC(E167*D167,1)</f>
        <v>0</v>
      </c>
      <c r="G167" s="31">
        <v>0</v>
      </c>
      <c r="H167" s="32">
        <f>TRUNC(G167*D167,1)</f>
        <v>0</v>
      </c>
      <c r="I167" s="31">
        <f>TRUNC(SUMIF(V165:V167, RIGHTB(O167, 1), H165:H167)*U167, 2)</f>
        <v>324.51</v>
      </c>
      <c r="J167" s="32">
        <f>TRUNC(I167*D167,1)</f>
        <v>324.5</v>
      </c>
      <c r="K167" s="31">
        <f t="shared" si="13"/>
        <v>324.5</v>
      </c>
      <c r="L167" s="32">
        <f t="shared" si="13"/>
        <v>324.5</v>
      </c>
      <c r="M167" s="34" t="s">
        <v>81</v>
      </c>
      <c r="N167" s="33" t="s">
        <v>307</v>
      </c>
      <c r="O167" s="33" t="s">
        <v>173</v>
      </c>
      <c r="P167" s="33" t="s">
        <v>137</v>
      </c>
      <c r="Q167" s="33" t="s">
        <v>137</v>
      </c>
      <c r="R167" s="33" t="s">
        <v>137</v>
      </c>
      <c r="S167">
        <v>1</v>
      </c>
      <c r="T167">
        <v>2</v>
      </c>
      <c r="U167">
        <v>0.02</v>
      </c>
      <c r="AV167" s="33" t="s">
        <v>81</v>
      </c>
      <c r="AW167" s="33" t="s">
        <v>472</v>
      </c>
      <c r="AX167" s="33" t="s">
        <v>81</v>
      </c>
      <c r="AY167" s="33" t="s">
        <v>81</v>
      </c>
    </row>
    <row r="168" spans="1:51" ht="30" customHeight="1" x14ac:dyDescent="0.3">
      <c r="A168" s="34" t="s">
        <v>177</v>
      </c>
      <c r="B168" s="34" t="s">
        <v>81</v>
      </c>
      <c r="C168" s="34" t="s">
        <v>81</v>
      </c>
      <c r="D168" s="30"/>
      <c r="E168" s="31"/>
      <c r="F168" s="32">
        <f>TRUNC(SUMIF(N165:N167, N164, F165:F167),0)</f>
        <v>0</v>
      </c>
      <c r="G168" s="31"/>
      <c r="H168" s="32">
        <f>TRUNC(SUMIF(N165:N167, N164, H165:H167),0)</f>
        <v>16225</v>
      </c>
      <c r="I168" s="31"/>
      <c r="J168" s="32">
        <f>TRUNC(SUMIF(N165:N167, N164, J165:J167),0)</f>
        <v>324</v>
      </c>
      <c r="K168" s="31"/>
      <c r="L168" s="32">
        <f>F168+H168+J168</f>
        <v>16549</v>
      </c>
      <c r="M168" s="34" t="s">
        <v>81</v>
      </c>
      <c r="N168" s="33" t="s">
        <v>178</v>
      </c>
      <c r="O168" s="33" t="s">
        <v>178</v>
      </c>
      <c r="P168" s="33" t="s">
        <v>81</v>
      </c>
      <c r="Q168" s="33" t="s">
        <v>81</v>
      </c>
      <c r="R168" s="33" t="s">
        <v>81</v>
      </c>
      <c r="AV168" s="33" t="s">
        <v>81</v>
      </c>
      <c r="AW168" s="33" t="s">
        <v>81</v>
      </c>
      <c r="AX168" s="33" t="s">
        <v>81</v>
      </c>
      <c r="AY168" s="33" t="s">
        <v>81</v>
      </c>
    </row>
    <row r="169" spans="1:51" ht="30" customHeight="1" x14ac:dyDescent="0.3">
      <c r="A169" s="30"/>
      <c r="B169" s="30"/>
      <c r="C169" s="30"/>
      <c r="D169" s="30"/>
      <c r="E169" s="31"/>
      <c r="F169" s="32"/>
      <c r="G169" s="31"/>
      <c r="H169" s="32"/>
      <c r="I169" s="31"/>
      <c r="J169" s="32"/>
      <c r="K169" s="31"/>
      <c r="L169" s="32"/>
      <c r="M169" s="30"/>
    </row>
    <row r="170" spans="1:51" ht="30" customHeight="1" x14ac:dyDescent="0.3">
      <c r="A170" s="266" t="s">
        <v>473</v>
      </c>
      <c r="B170" s="266"/>
      <c r="C170" s="266"/>
      <c r="D170" s="266"/>
      <c r="E170" s="267"/>
      <c r="F170" s="268"/>
      <c r="G170" s="267"/>
      <c r="H170" s="268"/>
      <c r="I170" s="267"/>
      <c r="J170" s="268"/>
      <c r="K170" s="267"/>
      <c r="L170" s="268"/>
      <c r="M170" s="266"/>
      <c r="N170" s="33" t="s">
        <v>325</v>
      </c>
    </row>
    <row r="171" spans="1:51" ht="30" customHeight="1" x14ac:dyDescent="0.3">
      <c r="A171" s="34" t="s">
        <v>474</v>
      </c>
      <c r="B171" s="34" t="s">
        <v>475</v>
      </c>
      <c r="C171" s="34" t="s">
        <v>16</v>
      </c>
      <c r="D171" s="30">
        <v>1.2</v>
      </c>
      <c r="E171" s="31">
        <f>[1]단가대비표!O12</f>
        <v>141</v>
      </c>
      <c r="F171" s="32">
        <f>TRUNC(E171*D171,1)</f>
        <v>169.2</v>
      </c>
      <c r="G171" s="31">
        <f>[1]단가대비표!P12</f>
        <v>0</v>
      </c>
      <c r="H171" s="32">
        <f>TRUNC(G171*D171,1)</f>
        <v>0</v>
      </c>
      <c r="I171" s="31">
        <f>[1]단가대비표!V12</f>
        <v>0</v>
      </c>
      <c r="J171" s="32">
        <f>TRUNC(I171*D171,1)</f>
        <v>0</v>
      </c>
      <c r="K171" s="31">
        <f t="shared" ref="K171:L173" si="14">TRUNC(E171+G171+I171,1)</f>
        <v>141</v>
      </c>
      <c r="L171" s="32">
        <f t="shared" si="14"/>
        <v>169.2</v>
      </c>
      <c r="M171" s="34" t="s">
        <v>81</v>
      </c>
      <c r="N171" s="33" t="s">
        <v>325</v>
      </c>
      <c r="O171" s="33" t="s">
        <v>476</v>
      </c>
      <c r="P171" s="33" t="s">
        <v>137</v>
      </c>
      <c r="Q171" s="33" t="s">
        <v>137</v>
      </c>
      <c r="R171" s="33" t="s">
        <v>138</v>
      </c>
      <c r="AV171" s="33" t="s">
        <v>81</v>
      </c>
      <c r="AW171" s="33" t="s">
        <v>477</v>
      </c>
      <c r="AX171" s="33" t="s">
        <v>81</v>
      </c>
      <c r="AY171" s="33" t="s">
        <v>81</v>
      </c>
    </row>
    <row r="172" spans="1:51" ht="30" customHeight="1" x14ac:dyDescent="0.3">
      <c r="A172" s="34" t="s">
        <v>478</v>
      </c>
      <c r="B172" s="34" t="s">
        <v>479</v>
      </c>
      <c r="C172" s="34" t="s">
        <v>16</v>
      </c>
      <c r="D172" s="30">
        <v>1.2</v>
      </c>
      <c r="E172" s="31">
        <f>[1]단가대비표!O13</f>
        <v>0</v>
      </c>
      <c r="F172" s="32">
        <f>TRUNC(E172*D172,1)</f>
        <v>0</v>
      </c>
      <c r="G172" s="31">
        <f>[1]단가대비표!P13</f>
        <v>0</v>
      </c>
      <c r="H172" s="32">
        <f>TRUNC(G172*D172,1)</f>
        <v>0</v>
      </c>
      <c r="I172" s="31">
        <f>[1]단가대비표!V13</f>
        <v>0</v>
      </c>
      <c r="J172" s="32">
        <f>TRUNC(I172*D172,1)</f>
        <v>0</v>
      </c>
      <c r="K172" s="31">
        <f t="shared" si="14"/>
        <v>0</v>
      </c>
      <c r="L172" s="32">
        <f t="shared" si="14"/>
        <v>0</v>
      </c>
      <c r="M172" s="34" t="s">
        <v>81</v>
      </c>
      <c r="N172" s="33" t="s">
        <v>325</v>
      </c>
      <c r="O172" s="33" t="s">
        <v>480</v>
      </c>
      <c r="P172" s="33" t="s">
        <v>137</v>
      </c>
      <c r="Q172" s="33" t="s">
        <v>137</v>
      </c>
      <c r="R172" s="33" t="s">
        <v>138</v>
      </c>
      <c r="AV172" s="33" t="s">
        <v>81</v>
      </c>
      <c r="AW172" s="33" t="s">
        <v>481</v>
      </c>
      <c r="AX172" s="33" t="s">
        <v>81</v>
      </c>
      <c r="AY172" s="33" t="s">
        <v>81</v>
      </c>
    </row>
    <row r="173" spans="1:51" ht="30" customHeight="1" x14ac:dyDescent="0.3">
      <c r="A173" s="34" t="s">
        <v>438</v>
      </c>
      <c r="B173" s="34" t="s">
        <v>482</v>
      </c>
      <c r="C173" s="34" t="s">
        <v>165</v>
      </c>
      <c r="D173" s="30">
        <v>0.3</v>
      </c>
      <c r="E173" s="31">
        <f>[1]단가대비표!O34</f>
        <v>1180</v>
      </c>
      <c r="F173" s="32">
        <f>TRUNC(E173*D173,1)</f>
        <v>354</v>
      </c>
      <c r="G173" s="31">
        <f>[1]단가대비표!P34</f>
        <v>0</v>
      </c>
      <c r="H173" s="32">
        <f>TRUNC(G173*D173,1)</f>
        <v>0</v>
      </c>
      <c r="I173" s="31">
        <f>[1]단가대비표!V34</f>
        <v>0</v>
      </c>
      <c r="J173" s="32">
        <f>TRUNC(I173*D173,1)</f>
        <v>0</v>
      </c>
      <c r="K173" s="31">
        <f t="shared" si="14"/>
        <v>1180</v>
      </c>
      <c r="L173" s="32">
        <f t="shared" si="14"/>
        <v>354</v>
      </c>
      <c r="M173" s="34" t="s">
        <v>81</v>
      </c>
      <c r="N173" s="33" t="s">
        <v>325</v>
      </c>
      <c r="O173" s="33" t="s">
        <v>483</v>
      </c>
      <c r="P173" s="33" t="s">
        <v>137</v>
      </c>
      <c r="Q173" s="33" t="s">
        <v>137</v>
      </c>
      <c r="R173" s="33" t="s">
        <v>138</v>
      </c>
      <c r="AV173" s="33" t="s">
        <v>81</v>
      </c>
      <c r="AW173" s="33" t="s">
        <v>484</v>
      </c>
      <c r="AX173" s="33" t="s">
        <v>81</v>
      </c>
      <c r="AY173" s="33" t="s">
        <v>81</v>
      </c>
    </row>
    <row r="174" spans="1:51" ht="30" customHeight="1" x14ac:dyDescent="0.3">
      <c r="A174" s="34" t="s">
        <v>177</v>
      </c>
      <c r="B174" s="34" t="s">
        <v>81</v>
      </c>
      <c r="C174" s="34" t="s">
        <v>81</v>
      </c>
      <c r="D174" s="30"/>
      <c r="E174" s="31"/>
      <c r="F174" s="32">
        <f>TRUNC(SUMIF(N171:N173, N170, F171:F173),0)</f>
        <v>523</v>
      </c>
      <c r="G174" s="31"/>
      <c r="H174" s="32">
        <f>TRUNC(SUMIF(N171:N173, N170, H171:H173),0)</f>
        <v>0</v>
      </c>
      <c r="I174" s="31"/>
      <c r="J174" s="32">
        <f>TRUNC(SUMIF(N171:N173, N170, J171:J173),0)</f>
        <v>0</v>
      </c>
      <c r="K174" s="31"/>
      <c r="L174" s="32">
        <f>F174+H174+J174</f>
        <v>523</v>
      </c>
      <c r="M174" s="34" t="s">
        <v>81</v>
      </c>
      <c r="N174" s="33" t="s">
        <v>178</v>
      </c>
      <c r="O174" s="33" t="s">
        <v>178</v>
      </c>
      <c r="P174" s="33" t="s">
        <v>81</v>
      </c>
      <c r="Q174" s="33" t="s">
        <v>81</v>
      </c>
      <c r="R174" s="33" t="s">
        <v>81</v>
      </c>
      <c r="AV174" s="33" t="s">
        <v>81</v>
      </c>
      <c r="AW174" s="33" t="s">
        <v>81</v>
      </c>
      <c r="AX174" s="33" t="s">
        <v>81</v>
      </c>
      <c r="AY174" s="33" t="s">
        <v>81</v>
      </c>
    </row>
    <row r="175" spans="1:51" ht="30" customHeight="1" x14ac:dyDescent="0.3">
      <c r="A175" s="30"/>
      <c r="B175" s="30"/>
      <c r="C175" s="30"/>
      <c r="D175" s="30"/>
      <c r="E175" s="31"/>
      <c r="F175" s="32"/>
      <c r="G175" s="31"/>
      <c r="H175" s="32"/>
      <c r="I175" s="31"/>
      <c r="J175" s="32"/>
      <c r="K175" s="31"/>
      <c r="L175" s="32"/>
      <c r="M175" s="30"/>
    </row>
    <row r="176" spans="1:51" ht="30" customHeight="1" x14ac:dyDescent="0.3">
      <c r="A176" s="266" t="s">
        <v>485</v>
      </c>
      <c r="B176" s="266"/>
      <c r="C176" s="266"/>
      <c r="D176" s="266"/>
      <c r="E176" s="267"/>
      <c r="F176" s="268"/>
      <c r="G176" s="267"/>
      <c r="H176" s="268"/>
      <c r="I176" s="267"/>
      <c r="J176" s="268"/>
      <c r="K176" s="267"/>
      <c r="L176" s="268"/>
      <c r="M176" s="266"/>
      <c r="N176" s="33" t="s">
        <v>329</v>
      </c>
    </row>
    <row r="177" spans="1:51" ht="30" customHeight="1" x14ac:dyDescent="0.3">
      <c r="A177" s="34" t="s">
        <v>486</v>
      </c>
      <c r="B177" s="34" t="s">
        <v>168</v>
      </c>
      <c r="C177" s="34" t="s">
        <v>3</v>
      </c>
      <c r="D177" s="30">
        <v>2.4E-2</v>
      </c>
      <c r="E177" s="31">
        <f>[1]단가대비표!O62</f>
        <v>0</v>
      </c>
      <c r="F177" s="32">
        <f>TRUNC(E177*D177,1)</f>
        <v>0</v>
      </c>
      <c r="G177" s="31">
        <f>[1]단가대비표!P62</f>
        <v>179138</v>
      </c>
      <c r="H177" s="32">
        <f>TRUNC(G177*D177,1)</f>
        <v>4299.3</v>
      </c>
      <c r="I177" s="31">
        <f>[1]단가대비표!V62</f>
        <v>0</v>
      </c>
      <c r="J177" s="32">
        <f>TRUNC(I177*D177,1)</f>
        <v>0</v>
      </c>
      <c r="K177" s="31">
        <f>TRUNC(E177+G177+I177,1)</f>
        <v>179138</v>
      </c>
      <c r="L177" s="32">
        <f>TRUNC(F177+H177+J177,1)</f>
        <v>4299.3</v>
      </c>
      <c r="M177" s="34" t="s">
        <v>81</v>
      </c>
      <c r="N177" s="33" t="s">
        <v>329</v>
      </c>
      <c r="O177" s="33" t="s">
        <v>487</v>
      </c>
      <c r="P177" s="33" t="s">
        <v>137</v>
      </c>
      <c r="Q177" s="33" t="s">
        <v>137</v>
      </c>
      <c r="R177" s="33" t="s">
        <v>138</v>
      </c>
      <c r="AV177" s="33" t="s">
        <v>81</v>
      </c>
      <c r="AW177" s="33" t="s">
        <v>488</v>
      </c>
      <c r="AX177" s="33" t="s">
        <v>81</v>
      </c>
      <c r="AY177" s="33" t="s">
        <v>81</v>
      </c>
    </row>
    <row r="178" spans="1:51" ht="30" customHeight="1" x14ac:dyDescent="0.3">
      <c r="A178" s="34" t="s">
        <v>4</v>
      </c>
      <c r="B178" s="34" t="s">
        <v>168</v>
      </c>
      <c r="C178" s="34" t="s">
        <v>3</v>
      </c>
      <c r="D178" s="30">
        <v>6.0000000000000001E-3</v>
      </c>
      <c r="E178" s="31">
        <f>[1]단가대비표!O55</f>
        <v>0</v>
      </c>
      <c r="F178" s="32">
        <f>TRUNC(E178*D178,1)</f>
        <v>0</v>
      </c>
      <c r="G178" s="31">
        <f>[1]단가대비표!P55</f>
        <v>138989</v>
      </c>
      <c r="H178" s="32">
        <f>TRUNC(G178*D178,1)</f>
        <v>833.9</v>
      </c>
      <c r="I178" s="31">
        <f>[1]단가대비표!V55</f>
        <v>0</v>
      </c>
      <c r="J178" s="32">
        <f>TRUNC(I178*D178,1)</f>
        <v>0</v>
      </c>
      <c r="K178" s="31">
        <f>TRUNC(E178+G178+I178,1)</f>
        <v>138989</v>
      </c>
      <c r="L178" s="32">
        <f>TRUNC(F178+H178+J178,1)</f>
        <v>833.9</v>
      </c>
      <c r="M178" s="34" t="s">
        <v>81</v>
      </c>
      <c r="N178" s="33" t="s">
        <v>329</v>
      </c>
      <c r="O178" s="33" t="s">
        <v>171</v>
      </c>
      <c r="P178" s="33" t="s">
        <v>137</v>
      </c>
      <c r="Q178" s="33" t="s">
        <v>137</v>
      </c>
      <c r="R178" s="33" t="s">
        <v>138</v>
      </c>
      <c r="AV178" s="33" t="s">
        <v>81</v>
      </c>
      <c r="AW178" s="33" t="s">
        <v>489</v>
      </c>
      <c r="AX178" s="33" t="s">
        <v>81</v>
      </c>
      <c r="AY178" s="33" t="s">
        <v>81</v>
      </c>
    </row>
    <row r="179" spans="1:51" ht="30" customHeight="1" x14ac:dyDescent="0.3">
      <c r="A179" s="34" t="s">
        <v>177</v>
      </c>
      <c r="B179" s="34" t="s">
        <v>81</v>
      </c>
      <c r="C179" s="34" t="s">
        <v>81</v>
      </c>
      <c r="D179" s="30"/>
      <c r="E179" s="31"/>
      <c r="F179" s="32">
        <f>TRUNC(SUMIF(N177:N178, N176, F177:F178),0)</f>
        <v>0</v>
      </c>
      <c r="G179" s="31"/>
      <c r="H179" s="32">
        <f>TRUNC(SUMIF(N177:N178, N176, H177:H178),0)</f>
        <v>5133</v>
      </c>
      <c r="I179" s="31"/>
      <c r="J179" s="32">
        <f>TRUNC(SUMIF(N177:N178, N176, J177:J178),0)</f>
        <v>0</v>
      </c>
      <c r="K179" s="31"/>
      <c r="L179" s="32">
        <f>F179+H179+J179</f>
        <v>5133</v>
      </c>
      <c r="M179" s="34" t="s">
        <v>81</v>
      </c>
      <c r="N179" s="33" t="s">
        <v>178</v>
      </c>
      <c r="O179" s="33" t="s">
        <v>178</v>
      </c>
      <c r="P179" s="33" t="s">
        <v>81</v>
      </c>
      <c r="Q179" s="33" t="s">
        <v>81</v>
      </c>
      <c r="R179" s="33" t="s">
        <v>81</v>
      </c>
      <c r="AV179" s="33" t="s">
        <v>81</v>
      </c>
      <c r="AW179" s="33" t="s">
        <v>81</v>
      </c>
      <c r="AX179" s="33" t="s">
        <v>81</v>
      </c>
      <c r="AY179" s="33" t="s">
        <v>81</v>
      </c>
    </row>
    <row r="180" spans="1:51" ht="30" customHeight="1" x14ac:dyDescent="0.3">
      <c r="A180" s="30"/>
      <c r="B180" s="30"/>
      <c r="C180" s="30"/>
      <c r="D180" s="30"/>
      <c r="E180" s="31"/>
      <c r="F180" s="32"/>
      <c r="G180" s="31"/>
      <c r="H180" s="32"/>
      <c r="I180" s="31"/>
      <c r="J180" s="32"/>
      <c r="K180" s="31"/>
      <c r="L180" s="32"/>
      <c r="M180" s="30"/>
    </row>
    <row r="181" spans="1:51" ht="30" customHeight="1" x14ac:dyDescent="0.3">
      <c r="A181" s="266" t="s">
        <v>490</v>
      </c>
      <c r="B181" s="266"/>
      <c r="C181" s="266"/>
      <c r="D181" s="266"/>
      <c r="E181" s="267"/>
      <c r="F181" s="268"/>
      <c r="G181" s="267"/>
      <c r="H181" s="268"/>
      <c r="I181" s="267"/>
      <c r="J181" s="268"/>
      <c r="K181" s="267"/>
      <c r="L181" s="268"/>
      <c r="M181" s="266"/>
      <c r="N181" s="33" t="s">
        <v>334</v>
      </c>
    </row>
    <row r="182" spans="1:51" ht="30" customHeight="1" x14ac:dyDescent="0.3">
      <c r="A182" s="34" t="s">
        <v>474</v>
      </c>
      <c r="B182" s="34" t="s">
        <v>475</v>
      </c>
      <c r="C182" s="34" t="s">
        <v>16</v>
      </c>
      <c r="D182" s="30">
        <v>0.8</v>
      </c>
      <c r="E182" s="31">
        <f>[1]단가대비표!O12</f>
        <v>141</v>
      </c>
      <c r="F182" s="32">
        <f>TRUNC(E182*D182,1)</f>
        <v>112.8</v>
      </c>
      <c r="G182" s="31">
        <f>[1]단가대비표!P12</f>
        <v>0</v>
      </c>
      <c r="H182" s="32">
        <f>TRUNC(G182*D182,1)</f>
        <v>0</v>
      </c>
      <c r="I182" s="31">
        <f>[1]단가대비표!V12</f>
        <v>0</v>
      </c>
      <c r="J182" s="32">
        <f>TRUNC(I182*D182,1)</f>
        <v>0</v>
      </c>
      <c r="K182" s="31">
        <f t="shared" ref="K182:L184" si="15">TRUNC(E182+G182+I182,1)</f>
        <v>141</v>
      </c>
      <c r="L182" s="32">
        <f t="shared" si="15"/>
        <v>112.8</v>
      </c>
      <c r="M182" s="34" t="s">
        <v>81</v>
      </c>
      <c r="N182" s="33" t="s">
        <v>334</v>
      </c>
      <c r="O182" s="33" t="s">
        <v>476</v>
      </c>
      <c r="P182" s="33" t="s">
        <v>137</v>
      </c>
      <c r="Q182" s="33" t="s">
        <v>137</v>
      </c>
      <c r="R182" s="33" t="s">
        <v>138</v>
      </c>
      <c r="AV182" s="33" t="s">
        <v>81</v>
      </c>
      <c r="AW182" s="33" t="s">
        <v>491</v>
      </c>
      <c r="AX182" s="33" t="s">
        <v>81</v>
      </c>
      <c r="AY182" s="33" t="s">
        <v>81</v>
      </c>
    </row>
    <row r="183" spans="1:51" ht="30" customHeight="1" x14ac:dyDescent="0.3">
      <c r="A183" s="34" t="s">
        <v>478</v>
      </c>
      <c r="B183" s="34" t="s">
        <v>479</v>
      </c>
      <c r="C183" s="34" t="s">
        <v>16</v>
      </c>
      <c r="D183" s="30">
        <v>1.2</v>
      </c>
      <c r="E183" s="31">
        <f>[1]단가대비표!O13</f>
        <v>0</v>
      </c>
      <c r="F183" s="32">
        <f>TRUNC(E183*D183,1)</f>
        <v>0</v>
      </c>
      <c r="G183" s="31">
        <f>[1]단가대비표!P13</f>
        <v>0</v>
      </c>
      <c r="H183" s="32">
        <f>TRUNC(G183*D183,1)</f>
        <v>0</v>
      </c>
      <c r="I183" s="31">
        <f>[1]단가대비표!V13</f>
        <v>0</v>
      </c>
      <c r="J183" s="32">
        <f>TRUNC(I183*D183,1)</f>
        <v>0</v>
      </c>
      <c r="K183" s="31">
        <f t="shared" si="15"/>
        <v>0</v>
      </c>
      <c r="L183" s="32">
        <f t="shared" si="15"/>
        <v>0</v>
      </c>
      <c r="M183" s="34" t="s">
        <v>81</v>
      </c>
      <c r="N183" s="33" t="s">
        <v>334</v>
      </c>
      <c r="O183" s="33" t="s">
        <v>480</v>
      </c>
      <c r="P183" s="33" t="s">
        <v>137</v>
      </c>
      <c r="Q183" s="33" t="s">
        <v>137</v>
      </c>
      <c r="R183" s="33" t="s">
        <v>138</v>
      </c>
      <c r="AV183" s="33" t="s">
        <v>81</v>
      </c>
      <c r="AW183" s="33" t="s">
        <v>492</v>
      </c>
      <c r="AX183" s="33" t="s">
        <v>81</v>
      </c>
      <c r="AY183" s="33" t="s">
        <v>81</v>
      </c>
    </row>
    <row r="184" spans="1:51" ht="30" customHeight="1" x14ac:dyDescent="0.3">
      <c r="A184" s="34" t="s">
        <v>438</v>
      </c>
      <c r="B184" s="34" t="s">
        <v>482</v>
      </c>
      <c r="C184" s="34" t="s">
        <v>165</v>
      </c>
      <c r="D184" s="30">
        <v>0.3</v>
      </c>
      <c r="E184" s="31">
        <f>[1]단가대비표!O34</f>
        <v>1180</v>
      </c>
      <c r="F184" s="32">
        <f>TRUNC(E184*D184,1)</f>
        <v>354</v>
      </c>
      <c r="G184" s="31">
        <f>[1]단가대비표!P34</f>
        <v>0</v>
      </c>
      <c r="H184" s="32">
        <f>TRUNC(G184*D184,1)</f>
        <v>0</v>
      </c>
      <c r="I184" s="31">
        <f>[1]단가대비표!V34</f>
        <v>0</v>
      </c>
      <c r="J184" s="32">
        <f>TRUNC(I184*D184,1)</f>
        <v>0</v>
      </c>
      <c r="K184" s="31">
        <f t="shared" si="15"/>
        <v>1180</v>
      </c>
      <c r="L184" s="32">
        <f t="shared" si="15"/>
        <v>354</v>
      </c>
      <c r="M184" s="34" t="s">
        <v>81</v>
      </c>
      <c r="N184" s="33" t="s">
        <v>334</v>
      </c>
      <c r="O184" s="33" t="s">
        <v>483</v>
      </c>
      <c r="P184" s="33" t="s">
        <v>137</v>
      </c>
      <c r="Q184" s="33" t="s">
        <v>137</v>
      </c>
      <c r="R184" s="33" t="s">
        <v>138</v>
      </c>
      <c r="AV184" s="33" t="s">
        <v>81</v>
      </c>
      <c r="AW184" s="33" t="s">
        <v>493</v>
      </c>
      <c r="AX184" s="33" t="s">
        <v>81</v>
      </c>
      <c r="AY184" s="33" t="s">
        <v>81</v>
      </c>
    </row>
    <row r="185" spans="1:51" ht="30" customHeight="1" x14ac:dyDescent="0.3">
      <c r="A185" s="34" t="s">
        <v>177</v>
      </c>
      <c r="B185" s="34" t="s">
        <v>81</v>
      </c>
      <c r="C185" s="34" t="s">
        <v>81</v>
      </c>
      <c r="D185" s="30"/>
      <c r="E185" s="31"/>
      <c r="F185" s="32">
        <f>TRUNC(SUMIF(N182:N184, N181, F182:F184),0)</f>
        <v>466</v>
      </c>
      <c r="G185" s="31"/>
      <c r="H185" s="32">
        <f>TRUNC(SUMIF(N182:N184, N181, H182:H184),0)</f>
        <v>0</v>
      </c>
      <c r="I185" s="31"/>
      <c r="J185" s="32">
        <f>TRUNC(SUMIF(N182:N184, N181, J182:J184),0)</f>
        <v>0</v>
      </c>
      <c r="K185" s="31"/>
      <c r="L185" s="32">
        <f>F185+H185+J185</f>
        <v>466</v>
      </c>
      <c r="M185" s="34" t="s">
        <v>81</v>
      </c>
      <c r="N185" s="33" t="s">
        <v>178</v>
      </c>
      <c r="O185" s="33" t="s">
        <v>178</v>
      </c>
      <c r="P185" s="33" t="s">
        <v>81</v>
      </c>
      <c r="Q185" s="33" t="s">
        <v>81</v>
      </c>
      <c r="R185" s="33" t="s">
        <v>81</v>
      </c>
      <c r="AV185" s="33" t="s">
        <v>81</v>
      </c>
      <c r="AW185" s="33" t="s">
        <v>81</v>
      </c>
      <c r="AX185" s="33" t="s">
        <v>81</v>
      </c>
      <c r="AY185" s="33" t="s">
        <v>81</v>
      </c>
    </row>
    <row r="186" spans="1:51" ht="30" customHeight="1" x14ac:dyDescent="0.3">
      <c r="A186" s="30"/>
      <c r="B186" s="30"/>
      <c r="C186" s="30"/>
      <c r="D186" s="30"/>
      <c r="E186" s="31"/>
      <c r="F186" s="32"/>
      <c r="G186" s="31"/>
      <c r="H186" s="32"/>
      <c r="I186" s="31"/>
      <c r="J186" s="32"/>
      <c r="K186" s="31"/>
      <c r="L186" s="32"/>
      <c r="M186" s="30"/>
    </row>
    <row r="187" spans="1:51" ht="30" customHeight="1" x14ac:dyDescent="0.3">
      <c r="A187" s="266" t="s">
        <v>494</v>
      </c>
      <c r="B187" s="266"/>
      <c r="C187" s="266"/>
      <c r="D187" s="266"/>
      <c r="E187" s="267"/>
      <c r="F187" s="268"/>
      <c r="G187" s="267"/>
      <c r="H187" s="268"/>
      <c r="I187" s="267"/>
      <c r="J187" s="268"/>
      <c r="K187" s="267"/>
      <c r="L187" s="268"/>
      <c r="M187" s="266"/>
      <c r="N187" s="33" t="s">
        <v>337</v>
      </c>
    </row>
    <row r="188" spans="1:51" ht="30" customHeight="1" x14ac:dyDescent="0.3">
      <c r="A188" s="34" t="s">
        <v>486</v>
      </c>
      <c r="B188" s="34" t="s">
        <v>168</v>
      </c>
      <c r="C188" s="34" t="s">
        <v>3</v>
      </c>
      <c r="D188" s="30">
        <v>2.7E-2</v>
      </c>
      <c r="E188" s="31">
        <f>[1]단가대비표!O62</f>
        <v>0</v>
      </c>
      <c r="F188" s="32">
        <f>TRUNC(E188*D188,1)</f>
        <v>0</v>
      </c>
      <c r="G188" s="31">
        <f>[1]단가대비표!P62</f>
        <v>179138</v>
      </c>
      <c r="H188" s="32">
        <f>TRUNC(G188*D188,1)</f>
        <v>4836.7</v>
      </c>
      <c r="I188" s="31">
        <f>[1]단가대비표!V62</f>
        <v>0</v>
      </c>
      <c r="J188" s="32">
        <f>TRUNC(I188*D188,1)</f>
        <v>0</v>
      </c>
      <c r="K188" s="31">
        <f t="shared" ref="K188:L190" si="16">TRUNC(E188+G188+I188,1)</f>
        <v>179138</v>
      </c>
      <c r="L188" s="32">
        <f t="shared" si="16"/>
        <v>4836.7</v>
      </c>
      <c r="M188" s="34" t="s">
        <v>81</v>
      </c>
      <c r="N188" s="33" t="s">
        <v>337</v>
      </c>
      <c r="O188" s="33" t="s">
        <v>487</v>
      </c>
      <c r="P188" s="33" t="s">
        <v>137</v>
      </c>
      <c r="Q188" s="33" t="s">
        <v>137</v>
      </c>
      <c r="R188" s="33" t="s">
        <v>138</v>
      </c>
      <c r="V188">
        <v>1</v>
      </c>
      <c r="AV188" s="33" t="s">
        <v>81</v>
      </c>
      <c r="AW188" s="33" t="s">
        <v>495</v>
      </c>
      <c r="AX188" s="33" t="s">
        <v>81</v>
      </c>
      <c r="AY188" s="33" t="s">
        <v>81</v>
      </c>
    </row>
    <row r="189" spans="1:51" ht="30" customHeight="1" x14ac:dyDescent="0.3">
      <c r="A189" s="34" t="s">
        <v>4</v>
      </c>
      <c r="B189" s="34" t="s">
        <v>168</v>
      </c>
      <c r="C189" s="34" t="s">
        <v>3</v>
      </c>
      <c r="D189" s="30">
        <v>6.0000000000000001E-3</v>
      </c>
      <c r="E189" s="31">
        <f>[1]단가대비표!O55</f>
        <v>0</v>
      </c>
      <c r="F189" s="32">
        <f>TRUNC(E189*D189,1)</f>
        <v>0</v>
      </c>
      <c r="G189" s="31">
        <f>[1]단가대비표!P55</f>
        <v>138989</v>
      </c>
      <c r="H189" s="32">
        <f>TRUNC(G189*D189,1)</f>
        <v>833.9</v>
      </c>
      <c r="I189" s="31">
        <f>[1]단가대비표!V55</f>
        <v>0</v>
      </c>
      <c r="J189" s="32">
        <f>TRUNC(I189*D189,1)</f>
        <v>0</v>
      </c>
      <c r="K189" s="31">
        <f t="shared" si="16"/>
        <v>138989</v>
      </c>
      <c r="L189" s="32">
        <f t="shared" si="16"/>
        <v>833.9</v>
      </c>
      <c r="M189" s="34" t="s">
        <v>81</v>
      </c>
      <c r="N189" s="33" t="s">
        <v>337</v>
      </c>
      <c r="O189" s="33" t="s">
        <v>171</v>
      </c>
      <c r="P189" s="33" t="s">
        <v>137</v>
      </c>
      <c r="Q189" s="33" t="s">
        <v>137</v>
      </c>
      <c r="R189" s="33" t="s">
        <v>138</v>
      </c>
      <c r="V189">
        <v>1</v>
      </c>
      <c r="AV189" s="33" t="s">
        <v>81</v>
      </c>
      <c r="AW189" s="33" t="s">
        <v>496</v>
      </c>
      <c r="AX189" s="33" t="s">
        <v>81</v>
      </c>
      <c r="AY189" s="33" t="s">
        <v>81</v>
      </c>
    </row>
    <row r="190" spans="1:51" ht="30" customHeight="1" x14ac:dyDescent="0.3">
      <c r="A190" s="34" t="s">
        <v>497</v>
      </c>
      <c r="B190" s="34" t="s">
        <v>498</v>
      </c>
      <c r="C190" s="34" t="s">
        <v>5</v>
      </c>
      <c r="D190" s="30">
        <v>1</v>
      </c>
      <c r="E190" s="31">
        <v>0</v>
      </c>
      <c r="F190" s="32">
        <f>TRUNC(E190*D190,1)</f>
        <v>0</v>
      </c>
      <c r="G190" s="31">
        <f>TRUNC(SUMIF(V188:V190, RIGHTB(O190, 1), H188:H190)*U190, 2)</f>
        <v>1701.18</v>
      </c>
      <c r="H190" s="32">
        <f>TRUNC(G190*D190,1)</f>
        <v>1701.1</v>
      </c>
      <c r="I190" s="31">
        <v>0</v>
      </c>
      <c r="J190" s="32">
        <f>TRUNC(I190*D190,1)</f>
        <v>0</v>
      </c>
      <c r="K190" s="31">
        <f t="shared" si="16"/>
        <v>1701.1</v>
      </c>
      <c r="L190" s="32">
        <f t="shared" si="16"/>
        <v>1701.1</v>
      </c>
      <c r="M190" s="34" t="s">
        <v>81</v>
      </c>
      <c r="N190" s="33" t="s">
        <v>337</v>
      </c>
      <c r="O190" s="33" t="s">
        <v>173</v>
      </c>
      <c r="P190" s="33" t="s">
        <v>137</v>
      </c>
      <c r="Q190" s="33" t="s">
        <v>137</v>
      </c>
      <c r="R190" s="33" t="s">
        <v>137</v>
      </c>
      <c r="S190">
        <v>1</v>
      </c>
      <c r="T190">
        <v>1</v>
      </c>
      <c r="U190">
        <v>0.3</v>
      </c>
      <c r="AV190" s="33" t="s">
        <v>81</v>
      </c>
      <c r="AW190" s="33" t="s">
        <v>499</v>
      </c>
      <c r="AX190" s="33" t="s">
        <v>81</v>
      </c>
      <c r="AY190" s="33" t="s">
        <v>81</v>
      </c>
    </row>
    <row r="191" spans="1:51" ht="30" customHeight="1" x14ac:dyDescent="0.3">
      <c r="A191" s="34" t="s">
        <v>177</v>
      </c>
      <c r="B191" s="34" t="s">
        <v>81</v>
      </c>
      <c r="C191" s="34" t="s">
        <v>81</v>
      </c>
      <c r="D191" s="30"/>
      <c r="E191" s="31"/>
      <c r="F191" s="32">
        <f>TRUNC(SUMIF(N188:N190, N187, F188:F190),0)</f>
        <v>0</v>
      </c>
      <c r="G191" s="31"/>
      <c r="H191" s="32">
        <f>TRUNC(SUMIF(N188:N190, N187, H188:H190),0)</f>
        <v>7371</v>
      </c>
      <c r="I191" s="31"/>
      <c r="J191" s="32">
        <f>TRUNC(SUMIF(N188:N190, N187, J188:J190),0)</f>
        <v>0</v>
      </c>
      <c r="K191" s="31"/>
      <c r="L191" s="32">
        <f>F191+H191+J191</f>
        <v>7371</v>
      </c>
      <c r="M191" s="34" t="s">
        <v>81</v>
      </c>
      <c r="N191" s="33" t="s">
        <v>178</v>
      </c>
      <c r="O191" s="33" t="s">
        <v>178</v>
      </c>
      <c r="P191" s="33" t="s">
        <v>81</v>
      </c>
      <c r="Q191" s="33" t="s">
        <v>81</v>
      </c>
      <c r="R191" s="33" t="s">
        <v>81</v>
      </c>
      <c r="AV191" s="33" t="s">
        <v>81</v>
      </c>
      <c r="AW191" s="33" t="s">
        <v>81</v>
      </c>
      <c r="AX191" s="33" t="s">
        <v>81</v>
      </c>
      <c r="AY191" s="33" t="s">
        <v>81</v>
      </c>
    </row>
    <row r="192" spans="1:51" ht="30" customHeight="1" x14ac:dyDescent="0.3">
      <c r="A192" s="30"/>
      <c r="B192" s="30"/>
      <c r="C192" s="30"/>
      <c r="D192" s="30"/>
      <c r="E192" s="31"/>
      <c r="F192" s="32"/>
      <c r="G192" s="31"/>
      <c r="H192" s="32"/>
      <c r="I192" s="31"/>
      <c r="J192" s="32"/>
      <c r="K192" s="31"/>
      <c r="L192" s="32"/>
      <c r="M192" s="30"/>
    </row>
    <row r="193" spans="1:51" ht="30" customHeight="1" x14ac:dyDescent="0.3">
      <c r="A193" s="266" t="s">
        <v>500</v>
      </c>
      <c r="B193" s="266"/>
      <c r="C193" s="266"/>
      <c r="D193" s="266"/>
      <c r="E193" s="267"/>
      <c r="F193" s="268"/>
      <c r="G193" s="267"/>
      <c r="H193" s="268"/>
      <c r="I193" s="267"/>
      <c r="J193" s="268"/>
      <c r="K193" s="267"/>
      <c r="L193" s="268"/>
      <c r="M193" s="266"/>
      <c r="N193" s="33" t="s">
        <v>355</v>
      </c>
    </row>
    <row r="194" spans="1:51" ht="30" customHeight="1" x14ac:dyDescent="0.3">
      <c r="A194" s="34" t="s">
        <v>40</v>
      </c>
      <c r="B194" s="34" t="s">
        <v>168</v>
      </c>
      <c r="C194" s="34" t="s">
        <v>3</v>
      </c>
      <c r="D194" s="30">
        <v>0.313</v>
      </c>
      <c r="E194" s="31">
        <f>[1]단가대비표!O58</f>
        <v>0</v>
      </c>
      <c r="F194" s="32">
        <f>TRUNC(E194*D194,1)</f>
        <v>0</v>
      </c>
      <c r="G194" s="31">
        <f>[1]단가대비표!P58</f>
        <v>205617</v>
      </c>
      <c r="H194" s="32">
        <f>TRUNC(G194*D194,1)</f>
        <v>64358.1</v>
      </c>
      <c r="I194" s="31">
        <f>[1]단가대비표!V58</f>
        <v>0</v>
      </c>
      <c r="J194" s="32">
        <f>TRUNC(I194*D194,1)</f>
        <v>0</v>
      </c>
      <c r="K194" s="31">
        <f t="shared" ref="K194:L196" si="17">TRUNC(E194+G194+I194,1)</f>
        <v>205617</v>
      </c>
      <c r="L194" s="32">
        <f t="shared" si="17"/>
        <v>64358.1</v>
      </c>
      <c r="M194" s="34" t="s">
        <v>81</v>
      </c>
      <c r="N194" s="33" t="s">
        <v>355</v>
      </c>
      <c r="O194" s="33" t="s">
        <v>359</v>
      </c>
      <c r="P194" s="33" t="s">
        <v>137</v>
      </c>
      <c r="Q194" s="33" t="s">
        <v>137</v>
      </c>
      <c r="R194" s="33" t="s">
        <v>138</v>
      </c>
      <c r="V194">
        <v>1</v>
      </c>
      <c r="AV194" s="33" t="s">
        <v>81</v>
      </c>
      <c r="AW194" s="33" t="s">
        <v>501</v>
      </c>
      <c r="AX194" s="33" t="s">
        <v>81</v>
      </c>
      <c r="AY194" s="33" t="s">
        <v>81</v>
      </c>
    </row>
    <row r="195" spans="1:51" ht="30" customHeight="1" x14ac:dyDescent="0.3">
      <c r="A195" s="34" t="s">
        <v>4</v>
      </c>
      <c r="B195" s="34" t="s">
        <v>168</v>
      </c>
      <c r="C195" s="34" t="s">
        <v>3</v>
      </c>
      <c r="D195" s="30">
        <v>6.4000000000000001E-2</v>
      </c>
      <c r="E195" s="31">
        <f>[1]단가대비표!O55</f>
        <v>0</v>
      </c>
      <c r="F195" s="32">
        <f>TRUNC(E195*D195,1)</f>
        <v>0</v>
      </c>
      <c r="G195" s="31">
        <f>[1]단가대비표!P55</f>
        <v>138989</v>
      </c>
      <c r="H195" s="32">
        <f>TRUNC(G195*D195,1)</f>
        <v>8895.2000000000007</v>
      </c>
      <c r="I195" s="31">
        <f>[1]단가대비표!V55</f>
        <v>0</v>
      </c>
      <c r="J195" s="32">
        <f>TRUNC(I195*D195,1)</f>
        <v>0</v>
      </c>
      <c r="K195" s="31">
        <f t="shared" si="17"/>
        <v>138989</v>
      </c>
      <c r="L195" s="32">
        <f t="shared" si="17"/>
        <v>8895.2000000000007</v>
      </c>
      <c r="M195" s="34" t="s">
        <v>81</v>
      </c>
      <c r="N195" s="33" t="s">
        <v>355</v>
      </c>
      <c r="O195" s="33" t="s">
        <v>171</v>
      </c>
      <c r="P195" s="33" t="s">
        <v>137</v>
      </c>
      <c r="Q195" s="33" t="s">
        <v>137</v>
      </c>
      <c r="R195" s="33" t="s">
        <v>138</v>
      </c>
      <c r="V195">
        <v>1</v>
      </c>
      <c r="AV195" s="33" t="s">
        <v>81</v>
      </c>
      <c r="AW195" s="33" t="s">
        <v>502</v>
      </c>
      <c r="AX195" s="33" t="s">
        <v>81</v>
      </c>
      <c r="AY195" s="33" t="s">
        <v>81</v>
      </c>
    </row>
    <row r="196" spans="1:51" ht="30" customHeight="1" x14ac:dyDescent="0.3">
      <c r="A196" s="34" t="s">
        <v>19</v>
      </c>
      <c r="B196" s="34" t="s">
        <v>313</v>
      </c>
      <c r="C196" s="34" t="s">
        <v>5</v>
      </c>
      <c r="D196" s="30">
        <v>1</v>
      </c>
      <c r="E196" s="31">
        <v>0</v>
      </c>
      <c r="F196" s="32">
        <f>TRUNC(E196*D196,1)</f>
        <v>0</v>
      </c>
      <c r="G196" s="31">
        <v>0</v>
      </c>
      <c r="H196" s="32">
        <f>TRUNC(G196*D196,1)</f>
        <v>0</v>
      </c>
      <c r="I196" s="31">
        <f>TRUNC(SUMIF(V194:V196, RIGHTB(O196, 1), H194:H196)*U196, 2)</f>
        <v>2197.59</v>
      </c>
      <c r="J196" s="32">
        <f>TRUNC(I196*D196,1)</f>
        <v>2197.5</v>
      </c>
      <c r="K196" s="31">
        <f t="shared" si="17"/>
        <v>2197.5</v>
      </c>
      <c r="L196" s="32">
        <f t="shared" si="17"/>
        <v>2197.5</v>
      </c>
      <c r="M196" s="34" t="s">
        <v>81</v>
      </c>
      <c r="N196" s="33" t="s">
        <v>355</v>
      </c>
      <c r="O196" s="33" t="s">
        <v>173</v>
      </c>
      <c r="P196" s="33" t="s">
        <v>137</v>
      </c>
      <c r="Q196" s="33" t="s">
        <v>137</v>
      </c>
      <c r="R196" s="33" t="s">
        <v>137</v>
      </c>
      <c r="S196">
        <v>1</v>
      </c>
      <c r="T196">
        <v>2</v>
      </c>
      <c r="U196">
        <v>0.03</v>
      </c>
      <c r="AV196" s="33" t="s">
        <v>81</v>
      </c>
      <c r="AW196" s="33" t="s">
        <v>503</v>
      </c>
      <c r="AX196" s="33" t="s">
        <v>81</v>
      </c>
      <c r="AY196" s="33" t="s">
        <v>81</v>
      </c>
    </row>
    <row r="197" spans="1:51" ht="30" customHeight="1" x14ac:dyDescent="0.3">
      <c r="A197" s="34" t="s">
        <v>177</v>
      </c>
      <c r="B197" s="34" t="s">
        <v>81</v>
      </c>
      <c r="C197" s="34" t="s">
        <v>81</v>
      </c>
      <c r="D197" s="30"/>
      <c r="E197" s="31"/>
      <c r="F197" s="32">
        <f>TRUNC(SUMIF(N194:N196, N193, F194:F196),0)</f>
        <v>0</v>
      </c>
      <c r="G197" s="31"/>
      <c r="H197" s="32">
        <f>TRUNC(SUMIF(N194:N196, N193, H194:H196),0)</f>
        <v>73253</v>
      </c>
      <c r="I197" s="31"/>
      <c r="J197" s="32">
        <f>TRUNC(SUMIF(N194:N196, N193, J194:J196),0)</f>
        <v>2197</v>
      </c>
      <c r="K197" s="31"/>
      <c r="L197" s="32">
        <f>F197+H197+J197</f>
        <v>75450</v>
      </c>
      <c r="M197" s="34" t="s">
        <v>81</v>
      </c>
      <c r="N197" s="33" t="s">
        <v>178</v>
      </c>
      <c r="O197" s="33" t="s">
        <v>178</v>
      </c>
      <c r="P197" s="33" t="s">
        <v>81</v>
      </c>
      <c r="Q197" s="33" t="s">
        <v>81</v>
      </c>
      <c r="R197" s="33" t="s">
        <v>81</v>
      </c>
      <c r="AV197" s="33" t="s">
        <v>81</v>
      </c>
      <c r="AW197" s="33" t="s">
        <v>81</v>
      </c>
      <c r="AX197" s="33" t="s">
        <v>81</v>
      </c>
      <c r="AY197" s="33" t="s">
        <v>81</v>
      </c>
    </row>
    <row r="198" spans="1:51" ht="30" customHeight="1" x14ac:dyDescent="0.3">
      <c r="A198" s="30"/>
      <c r="B198" s="30"/>
      <c r="C198" s="30"/>
      <c r="D198" s="30"/>
      <c r="E198" s="31"/>
      <c r="F198" s="32"/>
      <c r="G198" s="31"/>
      <c r="H198" s="32"/>
      <c r="I198" s="31"/>
      <c r="J198" s="32"/>
      <c r="K198" s="31"/>
      <c r="L198" s="32"/>
      <c r="M198" s="30"/>
    </row>
    <row r="199" spans="1:51" ht="30" customHeight="1" x14ac:dyDescent="0.3">
      <c r="A199" s="266" t="s">
        <v>504</v>
      </c>
      <c r="B199" s="266"/>
      <c r="C199" s="266"/>
      <c r="D199" s="266"/>
      <c r="E199" s="267"/>
      <c r="F199" s="268"/>
      <c r="G199" s="267"/>
      <c r="H199" s="268"/>
      <c r="I199" s="267"/>
      <c r="J199" s="268"/>
      <c r="K199" s="267"/>
      <c r="L199" s="268"/>
      <c r="M199" s="266"/>
      <c r="N199" s="33" t="s">
        <v>378</v>
      </c>
    </row>
    <row r="200" spans="1:51" ht="30" customHeight="1" x14ac:dyDescent="0.3">
      <c r="A200" s="34" t="s">
        <v>75</v>
      </c>
      <c r="B200" s="34" t="s">
        <v>505</v>
      </c>
      <c r="C200" s="34" t="s">
        <v>3</v>
      </c>
      <c r="D200" s="30">
        <v>2.5000000000000001E-2</v>
      </c>
      <c r="E200" s="31">
        <f>[1]단가대비표!O63</f>
        <v>0</v>
      </c>
      <c r="F200" s="32">
        <f>TRUNC(E200*D200,1)</f>
        <v>0</v>
      </c>
      <c r="G200" s="31">
        <f>[1]단가대비표!P63</f>
        <v>181699</v>
      </c>
      <c r="H200" s="32">
        <f>TRUNC(G200*D200,1)</f>
        <v>4542.3999999999996</v>
      </c>
      <c r="I200" s="31">
        <f>[1]단가대비표!V63</f>
        <v>0</v>
      </c>
      <c r="J200" s="32">
        <f>TRUNC(I200*D200,1)</f>
        <v>0</v>
      </c>
      <c r="K200" s="31">
        <f>TRUNC(E200+G200+I200,1)</f>
        <v>181699</v>
      </c>
      <c r="L200" s="32">
        <f>TRUNC(F200+H200+J200,1)</f>
        <v>4542.3999999999996</v>
      </c>
      <c r="M200" s="34" t="s">
        <v>81</v>
      </c>
      <c r="N200" s="33" t="s">
        <v>378</v>
      </c>
      <c r="O200" s="33" t="s">
        <v>506</v>
      </c>
      <c r="P200" s="33" t="s">
        <v>137</v>
      </c>
      <c r="Q200" s="33" t="s">
        <v>137</v>
      </c>
      <c r="R200" s="33" t="s">
        <v>138</v>
      </c>
      <c r="AV200" s="33" t="s">
        <v>81</v>
      </c>
      <c r="AW200" s="33" t="s">
        <v>507</v>
      </c>
      <c r="AX200" s="33" t="s">
        <v>81</v>
      </c>
      <c r="AY200" s="33" t="s">
        <v>81</v>
      </c>
    </row>
    <row r="201" spans="1:51" ht="30" customHeight="1" x14ac:dyDescent="0.3">
      <c r="A201" s="34" t="s">
        <v>177</v>
      </c>
      <c r="B201" s="34" t="s">
        <v>81</v>
      </c>
      <c r="C201" s="34" t="s">
        <v>81</v>
      </c>
      <c r="D201" s="30"/>
      <c r="E201" s="31"/>
      <c r="F201" s="32">
        <f>TRUNC(SUMIF(N200:N200, N199, F200:F200),0)</f>
        <v>0</v>
      </c>
      <c r="G201" s="31"/>
      <c r="H201" s="32">
        <f>TRUNC(SUMIF(N200:N200, N199, H200:H200),0)</f>
        <v>4542</v>
      </c>
      <c r="I201" s="31"/>
      <c r="J201" s="32">
        <f>TRUNC(SUMIF(N200:N200, N199, J200:J200),0)</f>
        <v>0</v>
      </c>
      <c r="K201" s="31"/>
      <c r="L201" s="32">
        <f>F201+H201+J201</f>
        <v>4542</v>
      </c>
      <c r="M201" s="34" t="s">
        <v>81</v>
      </c>
      <c r="N201" s="33" t="s">
        <v>178</v>
      </c>
      <c r="O201" s="33" t="s">
        <v>178</v>
      </c>
      <c r="P201" s="33" t="s">
        <v>81</v>
      </c>
      <c r="Q201" s="33" t="s">
        <v>81</v>
      </c>
      <c r="R201" s="33" t="s">
        <v>81</v>
      </c>
      <c r="AV201" s="33" t="s">
        <v>81</v>
      </c>
      <c r="AW201" s="33" t="s">
        <v>81</v>
      </c>
      <c r="AX201" s="33" t="s">
        <v>81</v>
      </c>
      <c r="AY201" s="33" t="s">
        <v>81</v>
      </c>
    </row>
    <row r="202" spans="1:51" ht="30" customHeight="1" x14ac:dyDescent="0.3">
      <c r="A202" s="30"/>
      <c r="B202" s="30"/>
      <c r="C202" s="30"/>
      <c r="D202" s="30"/>
      <c r="E202" s="31"/>
      <c r="F202" s="32"/>
      <c r="G202" s="31"/>
      <c r="H202" s="32"/>
      <c r="I202" s="31"/>
      <c r="J202" s="32"/>
      <c r="K202" s="31"/>
      <c r="L202" s="32"/>
      <c r="M202" s="30"/>
    </row>
    <row r="203" spans="1:51" ht="30" customHeight="1" x14ac:dyDescent="0.3">
      <c r="A203" s="266" t="s">
        <v>508</v>
      </c>
      <c r="B203" s="266"/>
      <c r="C203" s="266"/>
      <c r="D203" s="266"/>
      <c r="E203" s="267"/>
      <c r="F203" s="268"/>
      <c r="G203" s="267"/>
      <c r="H203" s="268"/>
      <c r="I203" s="267"/>
      <c r="J203" s="268"/>
      <c r="K203" s="267"/>
      <c r="L203" s="268"/>
      <c r="M203" s="266"/>
      <c r="N203" s="33" t="s">
        <v>384</v>
      </c>
    </row>
    <row r="204" spans="1:51" ht="30" customHeight="1" x14ac:dyDescent="0.3">
      <c r="A204" s="34" t="s">
        <v>509</v>
      </c>
      <c r="B204" s="34" t="s">
        <v>510</v>
      </c>
      <c r="C204" s="34" t="s">
        <v>132</v>
      </c>
      <c r="D204" s="30">
        <v>1.52</v>
      </c>
      <c r="E204" s="31">
        <f>[1]단가대비표!O40</f>
        <v>73</v>
      </c>
      <c r="F204" s="32">
        <f t="shared" ref="F204:F210" si="18">TRUNC(E204*D204,1)</f>
        <v>110.9</v>
      </c>
      <c r="G204" s="31">
        <f>[1]단가대비표!P40</f>
        <v>0</v>
      </c>
      <c r="H204" s="32">
        <f t="shared" ref="H204:H210" si="19">TRUNC(G204*D204,1)</f>
        <v>0</v>
      </c>
      <c r="I204" s="31">
        <f>[1]단가대비표!V40</f>
        <v>0</v>
      </c>
      <c r="J204" s="32">
        <f t="shared" ref="J204:J210" si="20">TRUNC(I204*D204,1)</f>
        <v>0</v>
      </c>
      <c r="K204" s="31">
        <f t="shared" ref="K204:L210" si="21">TRUNC(E204+G204+I204,1)</f>
        <v>73</v>
      </c>
      <c r="L204" s="32">
        <f t="shared" si="21"/>
        <v>110.9</v>
      </c>
      <c r="M204" s="34" t="s">
        <v>81</v>
      </c>
      <c r="N204" s="33" t="s">
        <v>384</v>
      </c>
      <c r="O204" s="33" t="s">
        <v>511</v>
      </c>
      <c r="P204" s="33" t="s">
        <v>137</v>
      </c>
      <c r="Q204" s="33" t="s">
        <v>137</v>
      </c>
      <c r="R204" s="33" t="s">
        <v>138</v>
      </c>
      <c r="AV204" s="33" t="s">
        <v>81</v>
      </c>
      <c r="AW204" s="33" t="s">
        <v>512</v>
      </c>
      <c r="AX204" s="33" t="s">
        <v>81</v>
      </c>
      <c r="AY204" s="33" t="s">
        <v>81</v>
      </c>
    </row>
    <row r="205" spans="1:51" ht="30" customHeight="1" x14ac:dyDescent="0.3">
      <c r="A205" s="34" t="s">
        <v>513</v>
      </c>
      <c r="B205" s="34" t="s">
        <v>81</v>
      </c>
      <c r="C205" s="34" t="s">
        <v>165</v>
      </c>
      <c r="D205" s="30">
        <v>0.32500000000000001</v>
      </c>
      <c r="E205" s="31">
        <f>[1]단가대비표!O41</f>
        <v>1150</v>
      </c>
      <c r="F205" s="32">
        <f t="shared" si="18"/>
        <v>373.7</v>
      </c>
      <c r="G205" s="31">
        <f>[1]단가대비표!P41</f>
        <v>0</v>
      </c>
      <c r="H205" s="32">
        <f t="shared" si="19"/>
        <v>0</v>
      </c>
      <c r="I205" s="31">
        <f>[1]단가대비표!V41</f>
        <v>0</v>
      </c>
      <c r="J205" s="32">
        <f t="shared" si="20"/>
        <v>0</v>
      </c>
      <c r="K205" s="31">
        <f t="shared" si="21"/>
        <v>1150</v>
      </c>
      <c r="L205" s="32">
        <f t="shared" si="21"/>
        <v>373.7</v>
      </c>
      <c r="M205" s="34" t="s">
        <v>81</v>
      </c>
      <c r="N205" s="33" t="s">
        <v>384</v>
      </c>
      <c r="O205" s="33" t="s">
        <v>514</v>
      </c>
      <c r="P205" s="33" t="s">
        <v>137</v>
      </c>
      <c r="Q205" s="33" t="s">
        <v>137</v>
      </c>
      <c r="R205" s="33" t="s">
        <v>138</v>
      </c>
      <c r="AV205" s="33" t="s">
        <v>81</v>
      </c>
      <c r="AW205" s="33" t="s">
        <v>515</v>
      </c>
      <c r="AX205" s="33" t="s">
        <v>81</v>
      </c>
      <c r="AY205" s="33" t="s">
        <v>81</v>
      </c>
    </row>
    <row r="206" spans="1:51" ht="30" customHeight="1" x14ac:dyDescent="0.3">
      <c r="A206" s="34" t="s">
        <v>516</v>
      </c>
      <c r="B206" s="34" t="s">
        <v>517</v>
      </c>
      <c r="C206" s="34" t="s">
        <v>165</v>
      </c>
      <c r="D206" s="30">
        <v>0.66700000000000004</v>
      </c>
      <c r="E206" s="31">
        <f>[1]단가대비표!O38</f>
        <v>752</v>
      </c>
      <c r="F206" s="32">
        <f t="shared" si="18"/>
        <v>501.5</v>
      </c>
      <c r="G206" s="31">
        <f>[1]단가대비표!P38</f>
        <v>0</v>
      </c>
      <c r="H206" s="32">
        <f t="shared" si="19"/>
        <v>0</v>
      </c>
      <c r="I206" s="31">
        <f>[1]단가대비표!V38</f>
        <v>0</v>
      </c>
      <c r="J206" s="32">
        <f t="shared" si="20"/>
        <v>0</v>
      </c>
      <c r="K206" s="31">
        <f t="shared" si="21"/>
        <v>752</v>
      </c>
      <c r="L206" s="32">
        <f t="shared" si="21"/>
        <v>501.5</v>
      </c>
      <c r="M206" s="34" t="s">
        <v>81</v>
      </c>
      <c r="N206" s="33" t="s">
        <v>384</v>
      </c>
      <c r="O206" s="33" t="s">
        <v>518</v>
      </c>
      <c r="P206" s="33" t="s">
        <v>137</v>
      </c>
      <c r="Q206" s="33" t="s">
        <v>137</v>
      </c>
      <c r="R206" s="33" t="s">
        <v>138</v>
      </c>
      <c r="AV206" s="33" t="s">
        <v>81</v>
      </c>
      <c r="AW206" s="33" t="s">
        <v>519</v>
      </c>
      <c r="AX206" s="33" t="s">
        <v>81</v>
      </c>
      <c r="AY206" s="33" t="s">
        <v>81</v>
      </c>
    </row>
    <row r="207" spans="1:51" ht="30" customHeight="1" x14ac:dyDescent="0.3">
      <c r="A207" s="34" t="s">
        <v>520</v>
      </c>
      <c r="B207" s="34" t="s">
        <v>521</v>
      </c>
      <c r="C207" s="34" t="s">
        <v>522</v>
      </c>
      <c r="D207" s="30">
        <v>0.18</v>
      </c>
      <c r="E207" s="31">
        <f>[1]단가대비표!O33</f>
        <v>200</v>
      </c>
      <c r="F207" s="32">
        <f t="shared" si="18"/>
        <v>36</v>
      </c>
      <c r="G207" s="31">
        <f>[1]단가대비표!P33</f>
        <v>0</v>
      </c>
      <c r="H207" s="32">
        <f t="shared" si="19"/>
        <v>0</v>
      </c>
      <c r="I207" s="31">
        <f>[1]단가대비표!V33</f>
        <v>0</v>
      </c>
      <c r="J207" s="32">
        <f t="shared" si="20"/>
        <v>0</v>
      </c>
      <c r="K207" s="31">
        <f t="shared" si="21"/>
        <v>200</v>
      </c>
      <c r="L207" s="32">
        <f t="shared" si="21"/>
        <v>36</v>
      </c>
      <c r="M207" s="34" t="s">
        <v>81</v>
      </c>
      <c r="N207" s="33" t="s">
        <v>384</v>
      </c>
      <c r="O207" s="33" t="s">
        <v>523</v>
      </c>
      <c r="P207" s="33" t="s">
        <v>137</v>
      </c>
      <c r="Q207" s="33" t="s">
        <v>137</v>
      </c>
      <c r="R207" s="33" t="s">
        <v>138</v>
      </c>
      <c r="AV207" s="33" t="s">
        <v>81</v>
      </c>
      <c r="AW207" s="33" t="s">
        <v>524</v>
      </c>
      <c r="AX207" s="33" t="s">
        <v>81</v>
      </c>
      <c r="AY207" s="33" t="s">
        <v>81</v>
      </c>
    </row>
    <row r="208" spans="1:51" ht="30" customHeight="1" x14ac:dyDescent="0.3">
      <c r="A208" s="34" t="s">
        <v>49</v>
      </c>
      <c r="B208" s="34" t="s">
        <v>168</v>
      </c>
      <c r="C208" s="34" t="s">
        <v>3</v>
      </c>
      <c r="D208" s="30">
        <v>6.6000000000000003E-2</v>
      </c>
      <c r="E208" s="31">
        <f>[1]단가대비표!O60</f>
        <v>0</v>
      </c>
      <c r="F208" s="32">
        <f t="shared" si="18"/>
        <v>0</v>
      </c>
      <c r="G208" s="31">
        <f>[1]단가대비표!P60</f>
        <v>200386</v>
      </c>
      <c r="H208" s="32">
        <f t="shared" si="19"/>
        <v>13225.4</v>
      </c>
      <c r="I208" s="31">
        <f>[1]단가대비표!V60</f>
        <v>0</v>
      </c>
      <c r="J208" s="32">
        <f t="shared" si="20"/>
        <v>0</v>
      </c>
      <c r="K208" s="31">
        <f t="shared" si="21"/>
        <v>200386</v>
      </c>
      <c r="L208" s="32">
        <f t="shared" si="21"/>
        <v>13225.4</v>
      </c>
      <c r="M208" s="34" t="s">
        <v>81</v>
      </c>
      <c r="N208" s="33" t="s">
        <v>384</v>
      </c>
      <c r="O208" s="33" t="s">
        <v>432</v>
      </c>
      <c r="P208" s="33" t="s">
        <v>137</v>
      </c>
      <c r="Q208" s="33" t="s">
        <v>137</v>
      </c>
      <c r="R208" s="33" t="s">
        <v>138</v>
      </c>
      <c r="V208">
        <v>1</v>
      </c>
      <c r="AV208" s="33" t="s">
        <v>81</v>
      </c>
      <c r="AW208" s="33" t="s">
        <v>525</v>
      </c>
      <c r="AX208" s="33" t="s">
        <v>81</v>
      </c>
      <c r="AY208" s="33" t="s">
        <v>81</v>
      </c>
    </row>
    <row r="209" spans="1:51" ht="30" customHeight="1" x14ac:dyDescent="0.3">
      <c r="A209" s="34" t="s">
        <v>4</v>
      </c>
      <c r="B209" s="34" t="s">
        <v>168</v>
      </c>
      <c r="C209" s="34" t="s">
        <v>3</v>
      </c>
      <c r="D209" s="30">
        <v>1.7999999999999999E-2</v>
      </c>
      <c r="E209" s="31">
        <f>[1]단가대비표!O55</f>
        <v>0</v>
      </c>
      <c r="F209" s="32">
        <f t="shared" si="18"/>
        <v>0</v>
      </c>
      <c r="G209" s="31">
        <f>[1]단가대비표!P55</f>
        <v>138989</v>
      </c>
      <c r="H209" s="32">
        <f t="shared" si="19"/>
        <v>2501.8000000000002</v>
      </c>
      <c r="I209" s="31">
        <f>[1]단가대비표!V55</f>
        <v>0</v>
      </c>
      <c r="J209" s="32">
        <f t="shared" si="20"/>
        <v>0</v>
      </c>
      <c r="K209" s="31">
        <f t="shared" si="21"/>
        <v>138989</v>
      </c>
      <c r="L209" s="32">
        <f t="shared" si="21"/>
        <v>2501.8000000000002</v>
      </c>
      <c r="M209" s="34" t="s">
        <v>81</v>
      </c>
      <c r="N209" s="33" t="s">
        <v>384</v>
      </c>
      <c r="O209" s="33" t="s">
        <v>171</v>
      </c>
      <c r="P209" s="33" t="s">
        <v>137</v>
      </c>
      <c r="Q209" s="33" t="s">
        <v>137</v>
      </c>
      <c r="R209" s="33" t="s">
        <v>138</v>
      </c>
      <c r="V209">
        <v>1</v>
      </c>
      <c r="AV209" s="33" t="s">
        <v>81</v>
      </c>
      <c r="AW209" s="33" t="s">
        <v>526</v>
      </c>
      <c r="AX209" s="33" t="s">
        <v>81</v>
      </c>
      <c r="AY209" s="33" t="s">
        <v>81</v>
      </c>
    </row>
    <row r="210" spans="1:51" ht="30" customHeight="1" x14ac:dyDescent="0.3">
      <c r="A210" s="34" t="s">
        <v>19</v>
      </c>
      <c r="B210" s="34" t="s">
        <v>362</v>
      </c>
      <c r="C210" s="34" t="s">
        <v>5</v>
      </c>
      <c r="D210" s="30">
        <v>1</v>
      </c>
      <c r="E210" s="31">
        <v>0</v>
      </c>
      <c r="F210" s="32">
        <f t="shared" si="18"/>
        <v>0</v>
      </c>
      <c r="G210" s="31">
        <v>0</v>
      </c>
      <c r="H210" s="32">
        <f t="shared" si="19"/>
        <v>0</v>
      </c>
      <c r="I210" s="31">
        <f>TRUNC(SUMIF(V204:V210, RIGHTB(O210, 1), H204:H210)*U210, 2)</f>
        <v>314.54000000000002</v>
      </c>
      <c r="J210" s="32">
        <f t="shared" si="20"/>
        <v>314.5</v>
      </c>
      <c r="K210" s="31">
        <f t="shared" si="21"/>
        <v>314.5</v>
      </c>
      <c r="L210" s="32">
        <f t="shared" si="21"/>
        <v>314.5</v>
      </c>
      <c r="M210" s="34" t="s">
        <v>81</v>
      </c>
      <c r="N210" s="33" t="s">
        <v>384</v>
      </c>
      <c r="O210" s="33" t="s">
        <v>173</v>
      </c>
      <c r="P210" s="33" t="s">
        <v>137</v>
      </c>
      <c r="Q210" s="33" t="s">
        <v>137</v>
      </c>
      <c r="R210" s="33" t="s">
        <v>137</v>
      </c>
      <c r="S210">
        <v>1</v>
      </c>
      <c r="T210">
        <v>2</v>
      </c>
      <c r="U210">
        <v>0.02</v>
      </c>
      <c r="AV210" s="33" t="s">
        <v>81</v>
      </c>
      <c r="AW210" s="33" t="s">
        <v>527</v>
      </c>
      <c r="AX210" s="33" t="s">
        <v>81</v>
      </c>
      <c r="AY210" s="33" t="s">
        <v>81</v>
      </c>
    </row>
    <row r="211" spans="1:51" ht="30" customHeight="1" x14ac:dyDescent="0.3">
      <c r="A211" s="34" t="s">
        <v>177</v>
      </c>
      <c r="B211" s="34" t="s">
        <v>81</v>
      </c>
      <c r="C211" s="34" t="s">
        <v>81</v>
      </c>
      <c r="D211" s="30"/>
      <c r="E211" s="31"/>
      <c r="F211" s="32">
        <f>TRUNC(SUMIF(N204:N210, N203, F204:F210),0)</f>
        <v>1022</v>
      </c>
      <c r="G211" s="31"/>
      <c r="H211" s="32">
        <f>TRUNC(SUMIF(N204:N210, N203, H204:H210),0)</f>
        <v>15727</v>
      </c>
      <c r="I211" s="31"/>
      <c r="J211" s="32">
        <f>TRUNC(SUMIF(N204:N210, N203, J204:J210),0)</f>
        <v>314</v>
      </c>
      <c r="K211" s="31"/>
      <c r="L211" s="32">
        <f>F211+H211+J211</f>
        <v>17063</v>
      </c>
      <c r="M211" s="34" t="s">
        <v>81</v>
      </c>
      <c r="N211" s="33" t="s">
        <v>178</v>
      </c>
      <c r="O211" s="33" t="s">
        <v>178</v>
      </c>
      <c r="P211" s="33" t="s">
        <v>81</v>
      </c>
      <c r="Q211" s="33" t="s">
        <v>81</v>
      </c>
      <c r="R211" s="33" t="s">
        <v>81</v>
      </c>
      <c r="AV211" s="33" t="s">
        <v>81</v>
      </c>
      <c r="AW211" s="33" t="s">
        <v>81</v>
      </c>
      <c r="AX211" s="33" t="s">
        <v>81</v>
      </c>
      <c r="AY211" s="33" t="s">
        <v>81</v>
      </c>
    </row>
    <row r="212" spans="1:51" ht="30" customHeight="1" x14ac:dyDescent="0.3">
      <c r="A212" s="30"/>
      <c r="B212" s="30"/>
      <c r="C212" s="30"/>
      <c r="D212" s="30"/>
      <c r="E212" s="31"/>
      <c r="F212" s="32"/>
      <c r="G212" s="31"/>
      <c r="H212" s="32"/>
      <c r="I212" s="31"/>
      <c r="J212" s="32"/>
      <c r="K212" s="31"/>
      <c r="L212" s="32"/>
      <c r="M212" s="30"/>
    </row>
    <row r="213" spans="1:51" ht="30" customHeight="1" x14ac:dyDescent="0.3">
      <c r="A213" s="266" t="s">
        <v>528</v>
      </c>
      <c r="B213" s="266"/>
      <c r="C213" s="266"/>
      <c r="D213" s="266"/>
      <c r="E213" s="267"/>
      <c r="F213" s="268"/>
      <c r="G213" s="267"/>
      <c r="H213" s="268"/>
      <c r="I213" s="267"/>
      <c r="J213" s="268"/>
      <c r="K213" s="267"/>
      <c r="L213" s="268"/>
      <c r="M213" s="266"/>
      <c r="N213" s="33" t="s">
        <v>388</v>
      </c>
    </row>
    <row r="214" spans="1:51" ht="30" customHeight="1" x14ac:dyDescent="0.3">
      <c r="A214" s="34" t="s">
        <v>424</v>
      </c>
      <c r="B214" s="34" t="s">
        <v>529</v>
      </c>
      <c r="C214" s="34" t="s">
        <v>373</v>
      </c>
      <c r="D214" s="30">
        <v>0.25600000000000001</v>
      </c>
      <c r="E214" s="31">
        <f>[1]단가대비표!O47</f>
        <v>5583.33</v>
      </c>
      <c r="F214" s="32">
        <f>TRUNC(E214*D214,1)</f>
        <v>1429.3</v>
      </c>
      <c r="G214" s="31">
        <f>[1]단가대비표!P47</f>
        <v>0</v>
      </c>
      <c r="H214" s="32">
        <f>TRUNC(G214*D214,1)</f>
        <v>0</v>
      </c>
      <c r="I214" s="31">
        <f>[1]단가대비표!V47</f>
        <v>0</v>
      </c>
      <c r="J214" s="32">
        <f>TRUNC(I214*D214,1)</f>
        <v>0</v>
      </c>
      <c r="K214" s="31">
        <f>TRUNC(E214+G214+I214,1)</f>
        <v>5583.3</v>
      </c>
      <c r="L214" s="32">
        <f>TRUNC(F214+H214+J214,1)</f>
        <v>1429.3</v>
      </c>
      <c r="M214" s="34" t="s">
        <v>81</v>
      </c>
      <c r="N214" s="33" t="s">
        <v>388</v>
      </c>
      <c r="O214" s="33" t="s">
        <v>530</v>
      </c>
      <c r="P214" s="33" t="s">
        <v>137</v>
      </c>
      <c r="Q214" s="33" t="s">
        <v>137</v>
      </c>
      <c r="R214" s="33" t="s">
        <v>138</v>
      </c>
      <c r="V214">
        <v>1</v>
      </c>
      <c r="AV214" s="33" t="s">
        <v>81</v>
      </c>
      <c r="AW214" s="33" t="s">
        <v>531</v>
      </c>
      <c r="AX214" s="33" t="s">
        <v>81</v>
      </c>
      <c r="AY214" s="33" t="s">
        <v>81</v>
      </c>
    </row>
    <row r="215" spans="1:51" ht="30" customHeight="1" x14ac:dyDescent="0.3">
      <c r="A215" s="34" t="s">
        <v>428</v>
      </c>
      <c r="B215" s="34" t="s">
        <v>429</v>
      </c>
      <c r="C215" s="34" t="s">
        <v>5</v>
      </c>
      <c r="D215" s="30">
        <v>1</v>
      </c>
      <c r="E215" s="31">
        <f>TRUNC(SUMIF(V214:V215, RIGHTB(O215, 1), F214:F215)*U215, 2)</f>
        <v>85.75</v>
      </c>
      <c r="F215" s="32">
        <f>TRUNC(E215*D215,1)</f>
        <v>85.7</v>
      </c>
      <c r="G215" s="31">
        <v>0</v>
      </c>
      <c r="H215" s="32">
        <f>TRUNC(G215*D215,1)</f>
        <v>0</v>
      </c>
      <c r="I215" s="31">
        <v>0</v>
      </c>
      <c r="J215" s="32">
        <f>TRUNC(I215*D215,1)</f>
        <v>0</v>
      </c>
      <c r="K215" s="31">
        <f>TRUNC(E215+G215+I215,1)</f>
        <v>85.7</v>
      </c>
      <c r="L215" s="32">
        <f>TRUNC(F215+H215+J215,1)</f>
        <v>85.7</v>
      </c>
      <c r="M215" s="34" t="s">
        <v>81</v>
      </c>
      <c r="N215" s="33" t="s">
        <v>388</v>
      </c>
      <c r="O215" s="33" t="s">
        <v>173</v>
      </c>
      <c r="P215" s="33" t="s">
        <v>137</v>
      </c>
      <c r="Q215" s="33" t="s">
        <v>137</v>
      </c>
      <c r="R215" s="33" t="s">
        <v>137</v>
      </c>
      <c r="S215">
        <v>0</v>
      </c>
      <c r="T215">
        <v>0</v>
      </c>
      <c r="U215">
        <v>0.06</v>
      </c>
      <c r="AV215" s="33" t="s">
        <v>81</v>
      </c>
      <c r="AW215" s="33" t="s">
        <v>532</v>
      </c>
      <c r="AX215" s="33" t="s">
        <v>81</v>
      </c>
      <c r="AY215" s="33" t="s">
        <v>81</v>
      </c>
    </row>
    <row r="216" spans="1:51" ht="30" customHeight="1" x14ac:dyDescent="0.3">
      <c r="A216" s="34" t="s">
        <v>177</v>
      </c>
      <c r="B216" s="34" t="s">
        <v>81</v>
      </c>
      <c r="C216" s="34" t="s">
        <v>81</v>
      </c>
      <c r="D216" s="30"/>
      <c r="E216" s="31"/>
      <c r="F216" s="32">
        <f>TRUNC(SUMIF(N214:N215, N213, F214:F215),0)</f>
        <v>1515</v>
      </c>
      <c r="G216" s="31"/>
      <c r="H216" s="32">
        <f>TRUNC(SUMIF(N214:N215, N213, H214:H215),0)</f>
        <v>0</v>
      </c>
      <c r="I216" s="31"/>
      <c r="J216" s="32">
        <f>TRUNC(SUMIF(N214:N215, N213, J214:J215),0)</f>
        <v>0</v>
      </c>
      <c r="K216" s="31"/>
      <c r="L216" s="32">
        <f>F216+H216+J216</f>
        <v>1515</v>
      </c>
      <c r="M216" s="34" t="s">
        <v>81</v>
      </c>
      <c r="N216" s="33" t="s">
        <v>178</v>
      </c>
      <c r="O216" s="33" t="s">
        <v>178</v>
      </c>
      <c r="P216" s="33" t="s">
        <v>81</v>
      </c>
      <c r="Q216" s="33" t="s">
        <v>81</v>
      </c>
      <c r="R216" s="33" t="s">
        <v>81</v>
      </c>
      <c r="AV216" s="33" t="s">
        <v>81</v>
      </c>
      <c r="AW216" s="33" t="s">
        <v>81</v>
      </c>
      <c r="AX216" s="33" t="s">
        <v>81</v>
      </c>
      <c r="AY216" s="33" t="s">
        <v>81</v>
      </c>
    </row>
    <row r="217" spans="1:51" ht="30" customHeight="1" x14ac:dyDescent="0.3">
      <c r="A217" s="30"/>
      <c r="B217" s="30"/>
      <c r="C217" s="30"/>
      <c r="D217" s="30"/>
      <c r="E217" s="31"/>
      <c r="F217" s="32"/>
      <c r="G217" s="31"/>
      <c r="H217" s="32"/>
      <c r="I217" s="31"/>
      <c r="J217" s="32"/>
      <c r="K217" s="31"/>
      <c r="L217" s="32"/>
      <c r="M217" s="30"/>
    </row>
    <row r="218" spans="1:51" ht="30" customHeight="1" x14ac:dyDescent="0.3">
      <c r="A218" s="266" t="s">
        <v>533</v>
      </c>
      <c r="B218" s="266"/>
      <c r="C218" s="266"/>
      <c r="D218" s="266"/>
      <c r="E218" s="267"/>
      <c r="F218" s="268"/>
      <c r="G218" s="267"/>
      <c r="H218" s="268"/>
      <c r="I218" s="267"/>
      <c r="J218" s="268"/>
      <c r="K218" s="267"/>
      <c r="L218" s="268"/>
      <c r="M218" s="266"/>
      <c r="N218" s="33" t="s">
        <v>391</v>
      </c>
    </row>
    <row r="219" spans="1:51" ht="30" customHeight="1" x14ac:dyDescent="0.3">
      <c r="A219" s="34" t="s">
        <v>49</v>
      </c>
      <c r="B219" s="34" t="s">
        <v>168</v>
      </c>
      <c r="C219" s="34" t="s">
        <v>3</v>
      </c>
      <c r="D219" s="30">
        <v>2.7000000000000001E-3</v>
      </c>
      <c r="E219" s="31">
        <f>[1]단가대비표!O60</f>
        <v>0</v>
      </c>
      <c r="F219" s="32">
        <f>TRUNC(E219*D219,1)</f>
        <v>0</v>
      </c>
      <c r="G219" s="31">
        <f>[1]단가대비표!P60</f>
        <v>200386</v>
      </c>
      <c r="H219" s="32">
        <f>TRUNC(G219*D219,1)</f>
        <v>541</v>
      </c>
      <c r="I219" s="31">
        <f>[1]단가대비표!V60</f>
        <v>0</v>
      </c>
      <c r="J219" s="32">
        <f>TRUNC(I219*D219,1)</f>
        <v>0</v>
      </c>
      <c r="K219" s="31">
        <f t="shared" ref="K219:L223" si="22">TRUNC(E219+G219+I219,1)</f>
        <v>200386</v>
      </c>
      <c r="L219" s="32">
        <f t="shared" si="22"/>
        <v>541</v>
      </c>
      <c r="M219" s="34" t="s">
        <v>81</v>
      </c>
      <c r="N219" s="33" t="s">
        <v>391</v>
      </c>
      <c r="O219" s="33" t="s">
        <v>432</v>
      </c>
      <c r="P219" s="33" t="s">
        <v>137</v>
      </c>
      <c r="Q219" s="33" t="s">
        <v>137</v>
      </c>
      <c r="R219" s="33" t="s">
        <v>138</v>
      </c>
      <c r="V219">
        <v>1</v>
      </c>
      <c r="AV219" s="33" t="s">
        <v>81</v>
      </c>
      <c r="AW219" s="33" t="s">
        <v>534</v>
      </c>
      <c r="AX219" s="33" t="s">
        <v>81</v>
      </c>
      <c r="AY219" s="33" t="s">
        <v>81</v>
      </c>
    </row>
    <row r="220" spans="1:51" ht="30" customHeight="1" x14ac:dyDescent="0.3">
      <c r="A220" s="34" t="s">
        <v>4</v>
      </c>
      <c r="B220" s="34" t="s">
        <v>168</v>
      </c>
      <c r="C220" s="34" t="s">
        <v>3</v>
      </c>
      <c r="D220" s="30">
        <v>1.2999999999999999E-3</v>
      </c>
      <c r="E220" s="31">
        <f>[1]단가대비표!O55</f>
        <v>0</v>
      </c>
      <c r="F220" s="32">
        <f>TRUNC(E220*D220,1)</f>
        <v>0</v>
      </c>
      <c r="G220" s="31">
        <f>[1]단가대비표!P55</f>
        <v>138989</v>
      </c>
      <c r="H220" s="32">
        <f>TRUNC(G220*D220,1)</f>
        <v>180.6</v>
      </c>
      <c r="I220" s="31">
        <f>[1]단가대비표!V55</f>
        <v>0</v>
      </c>
      <c r="J220" s="32">
        <f>TRUNC(I220*D220,1)</f>
        <v>0</v>
      </c>
      <c r="K220" s="31">
        <f t="shared" si="22"/>
        <v>138989</v>
      </c>
      <c r="L220" s="32">
        <f t="shared" si="22"/>
        <v>180.6</v>
      </c>
      <c r="M220" s="34" t="s">
        <v>81</v>
      </c>
      <c r="N220" s="33" t="s">
        <v>391</v>
      </c>
      <c r="O220" s="33" t="s">
        <v>171</v>
      </c>
      <c r="P220" s="33" t="s">
        <v>137</v>
      </c>
      <c r="Q220" s="33" t="s">
        <v>137</v>
      </c>
      <c r="R220" s="33" t="s">
        <v>138</v>
      </c>
      <c r="V220">
        <v>1</v>
      </c>
      <c r="AV220" s="33" t="s">
        <v>81</v>
      </c>
      <c r="AW220" s="33" t="s">
        <v>535</v>
      </c>
      <c r="AX220" s="33" t="s">
        <v>81</v>
      </c>
      <c r="AY220" s="33" t="s">
        <v>81</v>
      </c>
    </row>
    <row r="221" spans="1:51" ht="30" customHeight="1" x14ac:dyDescent="0.3">
      <c r="A221" s="34" t="s">
        <v>49</v>
      </c>
      <c r="B221" s="34" t="s">
        <v>168</v>
      </c>
      <c r="C221" s="34" t="s">
        <v>3</v>
      </c>
      <c r="D221" s="30">
        <v>2.7000000000000001E-3</v>
      </c>
      <c r="E221" s="31">
        <f>[1]단가대비표!O60</f>
        <v>0</v>
      </c>
      <c r="F221" s="32">
        <f>TRUNC(E221*D221,1)</f>
        <v>0</v>
      </c>
      <c r="G221" s="31">
        <f>[1]단가대비표!P60</f>
        <v>200386</v>
      </c>
      <c r="H221" s="32">
        <f>TRUNC(G221*D221,1)</f>
        <v>541</v>
      </c>
      <c r="I221" s="31">
        <f>[1]단가대비표!V60</f>
        <v>0</v>
      </c>
      <c r="J221" s="32">
        <f>TRUNC(I221*D221,1)</f>
        <v>0</v>
      </c>
      <c r="K221" s="31">
        <f t="shared" si="22"/>
        <v>200386</v>
      </c>
      <c r="L221" s="32">
        <f t="shared" si="22"/>
        <v>541</v>
      </c>
      <c r="M221" s="34" t="s">
        <v>81</v>
      </c>
      <c r="N221" s="33" t="s">
        <v>391</v>
      </c>
      <c r="O221" s="33" t="s">
        <v>432</v>
      </c>
      <c r="P221" s="33" t="s">
        <v>137</v>
      </c>
      <c r="Q221" s="33" t="s">
        <v>137</v>
      </c>
      <c r="R221" s="33" t="s">
        <v>138</v>
      </c>
      <c r="V221">
        <v>1</v>
      </c>
      <c r="AV221" s="33" t="s">
        <v>81</v>
      </c>
      <c r="AW221" s="33" t="s">
        <v>534</v>
      </c>
      <c r="AX221" s="33" t="s">
        <v>81</v>
      </c>
      <c r="AY221" s="33" t="s">
        <v>81</v>
      </c>
    </row>
    <row r="222" spans="1:51" ht="30" customHeight="1" x14ac:dyDescent="0.3">
      <c r="A222" s="34" t="s">
        <v>4</v>
      </c>
      <c r="B222" s="34" t="s">
        <v>168</v>
      </c>
      <c r="C222" s="34" t="s">
        <v>3</v>
      </c>
      <c r="D222" s="30">
        <v>1.2999999999999999E-3</v>
      </c>
      <c r="E222" s="31">
        <f>[1]단가대비표!O55</f>
        <v>0</v>
      </c>
      <c r="F222" s="32">
        <f>TRUNC(E222*D222,1)</f>
        <v>0</v>
      </c>
      <c r="G222" s="31">
        <f>[1]단가대비표!P55</f>
        <v>138989</v>
      </c>
      <c r="H222" s="32">
        <f>TRUNC(G222*D222,1)</f>
        <v>180.6</v>
      </c>
      <c r="I222" s="31">
        <f>[1]단가대비표!V55</f>
        <v>0</v>
      </c>
      <c r="J222" s="32">
        <f>TRUNC(I222*D222,1)</f>
        <v>0</v>
      </c>
      <c r="K222" s="31">
        <f t="shared" si="22"/>
        <v>138989</v>
      </c>
      <c r="L222" s="32">
        <f t="shared" si="22"/>
        <v>180.6</v>
      </c>
      <c r="M222" s="34" t="s">
        <v>81</v>
      </c>
      <c r="N222" s="33" t="s">
        <v>391</v>
      </c>
      <c r="O222" s="33" t="s">
        <v>171</v>
      </c>
      <c r="P222" s="33" t="s">
        <v>137</v>
      </c>
      <c r="Q222" s="33" t="s">
        <v>137</v>
      </c>
      <c r="R222" s="33" t="s">
        <v>138</v>
      </c>
      <c r="V222">
        <v>1</v>
      </c>
      <c r="AV222" s="33" t="s">
        <v>81</v>
      </c>
      <c r="AW222" s="33" t="s">
        <v>535</v>
      </c>
      <c r="AX222" s="33" t="s">
        <v>81</v>
      </c>
      <c r="AY222" s="33" t="s">
        <v>81</v>
      </c>
    </row>
    <row r="223" spans="1:51" ht="30" customHeight="1" x14ac:dyDescent="0.3">
      <c r="A223" s="34" t="s">
        <v>19</v>
      </c>
      <c r="B223" s="34" t="s">
        <v>536</v>
      </c>
      <c r="C223" s="34" t="s">
        <v>5</v>
      </c>
      <c r="D223" s="30">
        <v>1</v>
      </c>
      <c r="E223" s="31">
        <v>0</v>
      </c>
      <c r="F223" s="32">
        <f>TRUNC(E223*D223,1)</f>
        <v>0</v>
      </c>
      <c r="G223" s="31">
        <v>0</v>
      </c>
      <c r="H223" s="32">
        <f>TRUNC(G223*D223,1)</f>
        <v>0</v>
      </c>
      <c r="I223" s="31">
        <f>TRUNC(SUMIF(V219:V223, RIGHTB(O223, 1), H219:H223)*U223, 2)</f>
        <v>129.88</v>
      </c>
      <c r="J223" s="32">
        <f>TRUNC(I223*D223,1)</f>
        <v>129.80000000000001</v>
      </c>
      <c r="K223" s="31">
        <f t="shared" si="22"/>
        <v>129.80000000000001</v>
      </c>
      <c r="L223" s="32">
        <f t="shared" si="22"/>
        <v>129.80000000000001</v>
      </c>
      <c r="M223" s="34" t="s">
        <v>81</v>
      </c>
      <c r="N223" s="33" t="s">
        <v>391</v>
      </c>
      <c r="O223" s="33" t="s">
        <v>173</v>
      </c>
      <c r="P223" s="33" t="s">
        <v>137</v>
      </c>
      <c r="Q223" s="33" t="s">
        <v>137</v>
      </c>
      <c r="R223" s="33" t="s">
        <v>137</v>
      </c>
      <c r="S223">
        <v>1</v>
      </c>
      <c r="T223">
        <v>2</v>
      </c>
      <c r="U223">
        <v>0.09</v>
      </c>
      <c r="AV223" s="33" t="s">
        <v>81</v>
      </c>
      <c r="AW223" s="33" t="s">
        <v>537</v>
      </c>
      <c r="AX223" s="33" t="s">
        <v>81</v>
      </c>
      <c r="AY223" s="33" t="s">
        <v>81</v>
      </c>
    </row>
    <row r="224" spans="1:51" ht="30" customHeight="1" x14ac:dyDescent="0.3">
      <c r="A224" s="34" t="s">
        <v>177</v>
      </c>
      <c r="B224" s="34" t="s">
        <v>81</v>
      </c>
      <c r="C224" s="34" t="s">
        <v>81</v>
      </c>
      <c r="D224" s="30"/>
      <c r="E224" s="31"/>
      <c r="F224" s="32">
        <f>TRUNC(SUMIF(N219:N223, N218, F219:F223),0)</f>
        <v>0</v>
      </c>
      <c r="G224" s="31"/>
      <c r="H224" s="32">
        <f>TRUNC(SUMIF(N219:N223, N218, H219:H223),0)</f>
        <v>1443</v>
      </c>
      <c r="I224" s="31"/>
      <c r="J224" s="32">
        <f>TRUNC(SUMIF(N219:N223, N218, J219:J223),0)</f>
        <v>129</v>
      </c>
      <c r="K224" s="31"/>
      <c r="L224" s="32">
        <f>F224+H224+J224</f>
        <v>1572</v>
      </c>
      <c r="M224" s="34" t="s">
        <v>81</v>
      </c>
      <c r="N224" s="33" t="s">
        <v>178</v>
      </c>
      <c r="O224" s="33" t="s">
        <v>178</v>
      </c>
      <c r="P224" s="33" t="s">
        <v>81</v>
      </c>
      <c r="Q224" s="33" t="s">
        <v>81</v>
      </c>
      <c r="R224" s="33" t="s">
        <v>81</v>
      </c>
      <c r="AV224" s="33" t="s">
        <v>81</v>
      </c>
      <c r="AW224" s="33" t="s">
        <v>81</v>
      </c>
      <c r="AX224" s="33" t="s">
        <v>81</v>
      </c>
      <c r="AY224" s="33" t="s">
        <v>81</v>
      </c>
    </row>
    <row r="225" spans="1:51" ht="30" customHeight="1" x14ac:dyDescent="0.3">
      <c r="A225" s="30"/>
      <c r="B225" s="30"/>
      <c r="C225" s="30"/>
      <c r="D225" s="30"/>
      <c r="E225" s="31"/>
      <c r="F225" s="32"/>
      <c r="G225" s="31"/>
      <c r="H225" s="32"/>
      <c r="I225" s="31"/>
      <c r="J225" s="32"/>
      <c r="K225" s="31"/>
      <c r="L225" s="32"/>
      <c r="M225" s="30"/>
    </row>
    <row r="226" spans="1:51" ht="30" customHeight="1" x14ac:dyDescent="0.3">
      <c r="A226" s="266" t="s">
        <v>538</v>
      </c>
      <c r="B226" s="266"/>
      <c r="C226" s="266"/>
      <c r="D226" s="266"/>
      <c r="E226" s="267"/>
      <c r="F226" s="268"/>
      <c r="G226" s="267"/>
      <c r="H226" s="268"/>
      <c r="I226" s="267"/>
      <c r="J226" s="268"/>
      <c r="K226" s="267"/>
      <c r="L226" s="268"/>
      <c r="M226" s="266"/>
      <c r="N226" s="33" t="s">
        <v>395</v>
      </c>
    </row>
    <row r="227" spans="1:51" ht="30" customHeight="1" x14ac:dyDescent="0.3">
      <c r="A227" s="34" t="s">
        <v>424</v>
      </c>
      <c r="B227" s="34" t="s">
        <v>529</v>
      </c>
      <c r="C227" s="34" t="s">
        <v>373</v>
      </c>
      <c r="D227" s="30">
        <v>0.19700000000000001</v>
      </c>
      <c r="E227" s="31">
        <f>[1]단가대비표!O47</f>
        <v>5583.33</v>
      </c>
      <c r="F227" s="32">
        <f>TRUNC(E227*D227,1)</f>
        <v>1099.9000000000001</v>
      </c>
      <c r="G227" s="31">
        <f>[1]단가대비표!P47</f>
        <v>0</v>
      </c>
      <c r="H227" s="32">
        <f>TRUNC(G227*D227,1)</f>
        <v>0</v>
      </c>
      <c r="I227" s="31">
        <f>[1]단가대비표!V47</f>
        <v>0</v>
      </c>
      <c r="J227" s="32">
        <f>TRUNC(I227*D227,1)</f>
        <v>0</v>
      </c>
      <c r="K227" s="31">
        <f>TRUNC(E227+G227+I227,1)</f>
        <v>5583.3</v>
      </c>
      <c r="L227" s="32">
        <f>TRUNC(F227+H227+J227,1)</f>
        <v>1099.9000000000001</v>
      </c>
      <c r="M227" s="34" t="s">
        <v>81</v>
      </c>
      <c r="N227" s="33" t="s">
        <v>395</v>
      </c>
      <c r="O227" s="33" t="s">
        <v>530</v>
      </c>
      <c r="P227" s="33" t="s">
        <v>137</v>
      </c>
      <c r="Q227" s="33" t="s">
        <v>137</v>
      </c>
      <c r="R227" s="33" t="s">
        <v>138</v>
      </c>
      <c r="V227">
        <v>1</v>
      </c>
      <c r="AV227" s="33" t="s">
        <v>81</v>
      </c>
      <c r="AW227" s="33" t="s">
        <v>539</v>
      </c>
      <c r="AX227" s="33" t="s">
        <v>81</v>
      </c>
      <c r="AY227" s="33" t="s">
        <v>81</v>
      </c>
    </row>
    <row r="228" spans="1:51" ht="30" customHeight="1" x14ac:dyDescent="0.3">
      <c r="A228" s="34" t="s">
        <v>428</v>
      </c>
      <c r="B228" s="34" t="s">
        <v>429</v>
      </c>
      <c r="C228" s="34" t="s">
        <v>5</v>
      </c>
      <c r="D228" s="30">
        <v>1</v>
      </c>
      <c r="E228" s="31">
        <f>TRUNC(SUMIF(V227:V228, RIGHTB(O228, 1), F227:F228)*U228, 2)</f>
        <v>65.989999999999995</v>
      </c>
      <c r="F228" s="32">
        <f>TRUNC(E228*D228,1)</f>
        <v>65.900000000000006</v>
      </c>
      <c r="G228" s="31">
        <v>0</v>
      </c>
      <c r="H228" s="32">
        <f>TRUNC(G228*D228,1)</f>
        <v>0</v>
      </c>
      <c r="I228" s="31">
        <v>0</v>
      </c>
      <c r="J228" s="32">
        <f>TRUNC(I228*D228,1)</f>
        <v>0</v>
      </c>
      <c r="K228" s="31">
        <f>TRUNC(E228+G228+I228,1)</f>
        <v>65.900000000000006</v>
      </c>
      <c r="L228" s="32">
        <f>TRUNC(F228+H228+J228,1)</f>
        <v>65.900000000000006</v>
      </c>
      <c r="M228" s="34" t="s">
        <v>81</v>
      </c>
      <c r="N228" s="33" t="s">
        <v>395</v>
      </c>
      <c r="O228" s="33" t="s">
        <v>173</v>
      </c>
      <c r="P228" s="33" t="s">
        <v>137</v>
      </c>
      <c r="Q228" s="33" t="s">
        <v>137</v>
      </c>
      <c r="R228" s="33" t="s">
        <v>137</v>
      </c>
      <c r="S228">
        <v>0</v>
      </c>
      <c r="T228">
        <v>0</v>
      </c>
      <c r="U228">
        <v>0.06</v>
      </c>
      <c r="AV228" s="33" t="s">
        <v>81</v>
      </c>
      <c r="AW228" s="33" t="s">
        <v>540</v>
      </c>
      <c r="AX228" s="33" t="s">
        <v>81</v>
      </c>
      <c r="AY228" s="33" t="s">
        <v>81</v>
      </c>
    </row>
    <row r="229" spans="1:51" ht="30" customHeight="1" x14ac:dyDescent="0.3">
      <c r="A229" s="34" t="s">
        <v>177</v>
      </c>
      <c r="B229" s="34" t="s">
        <v>81</v>
      </c>
      <c r="C229" s="34" t="s">
        <v>81</v>
      </c>
      <c r="D229" s="30"/>
      <c r="E229" s="31"/>
      <c r="F229" s="32">
        <f>TRUNC(SUMIF(N227:N228, N226, F227:F228),0)</f>
        <v>1165</v>
      </c>
      <c r="G229" s="31"/>
      <c r="H229" s="32">
        <f>TRUNC(SUMIF(N227:N228, N226, H227:H228),0)</f>
        <v>0</v>
      </c>
      <c r="I229" s="31"/>
      <c r="J229" s="32">
        <f>TRUNC(SUMIF(N227:N228, N226, J227:J228),0)</f>
        <v>0</v>
      </c>
      <c r="K229" s="31"/>
      <c r="L229" s="32">
        <f>F229+H229+J229</f>
        <v>1165</v>
      </c>
      <c r="M229" s="34" t="s">
        <v>81</v>
      </c>
      <c r="N229" s="33" t="s">
        <v>178</v>
      </c>
      <c r="O229" s="33" t="s">
        <v>178</v>
      </c>
      <c r="P229" s="33" t="s">
        <v>81</v>
      </c>
      <c r="Q229" s="33" t="s">
        <v>81</v>
      </c>
      <c r="R229" s="33" t="s">
        <v>81</v>
      </c>
      <c r="AV229" s="33" t="s">
        <v>81</v>
      </c>
      <c r="AW229" s="33" t="s">
        <v>81</v>
      </c>
      <c r="AX229" s="33" t="s">
        <v>81</v>
      </c>
      <c r="AY229" s="33" t="s">
        <v>81</v>
      </c>
    </row>
    <row r="230" spans="1:51" ht="30" customHeight="1" x14ac:dyDescent="0.3">
      <c r="A230" s="30"/>
      <c r="B230" s="30"/>
      <c r="C230" s="30"/>
      <c r="D230" s="30"/>
      <c r="E230" s="31"/>
      <c r="F230" s="32"/>
      <c r="G230" s="31"/>
      <c r="H230" s="32"/>
      <c r="I230" s="31"/>
      <c r="J230" s="32"/>
      <c r="K230" s="31"/>
      <c r="L230" s="32"/>
      <c r="M230" s="30"/>
    </row>
    <row r="231" spans="1:51" ht="30" customHeight="1" x14ac:dyDescent="0.3">
      <c r="A231" s="266" t="s">
        <v>541</v>
      </c>
      <c r="B231" s="266"/>
      <c r="C231" s="266"/>
      <c r="D231" s="266"/>
      <c r="E231" s="267"/>
      <c r="F231" s="268"/>
      <c r="G231" s="267"/>
      <c r="H231" s="268"/>
      <c r="I231" s="267"/>
      <c r="J231" s="268"/>
      <c r="K231" s="267"/>
      <c r="L231" s="268"/>
      <c r="M231" s="266"/>
      <c r="N231" s="33" t="s">
        <v>398</v>
      </c>
    </row>
    <row r="232" spans="1:51" ht="30" customHeight="1" x14ac:dyDescent="0.3">
      <c r="A232" s="34" t="s">
        <v>49</v>
      </c>
      <c r="B232" s="34" t="s">
        <v>168</v>
      </c>
      <c r="C232" s="34" t="s">
        <v>3</v>
      </c>
      <c r="D232" s="30">
        <v>1.2E-2</v>
      </c>
      <c r="E232" s="31">
        <f>[1]단가대비표!O60</f>
        <v>0</v>
      </c>
      <c r="F232" s="32">
        <f>TRUNC(E232*D232,1)</f>
        <v>0</v>
      </c>
      <c r="G232" s="31">
        <f>[1]단가대비표!P60</f>
        <v>200386</v>
      </c>
      <c r="H232" s="32">
        <f>TRUNC(G232*D232,1)</f>
        <v>2404.6</v>
      </c>
      <c r="I232" s="31">
        <f>[1]단가대비표!V60</f>
        <v>0</v>
      </c>
      <c r="J232" s="32">
        <f>TRUNC(I232*D232,1)</f>
        <v>0</v>
      </c>
      <c r="K232" s="31">
        <f t="shared" ref="K232:L236" si="23">TRUNC(E232+G232+I232,1)</f>
        <v>200386</v>
      </c>
      <c r="L232" s="32">
        <f t="shared" si="23"/>
        <v>2404.6</v>
      </c>
      <c r="M232" s="34" t="s">
        <v>81</v>
      </c>
      <c r="N232" s="33" t="s">
        <v>398</v>
      </c>
      <c r="O232" s="33" t="s">
        <v>432</v>
      </c>
      <c r="P232" s="33" t="s">
        <v>137</v>
      </c>
      <c r="Q232" s="33" t="s">
        <v>137</v>
      </c>
      <c r="R232" s="33" t="s">
        <v>138</v>
      </c>
      <c r="V232">
        <v>1</v>
      </c>
      <c r="AV232" s="33" t="s">
        <v>81</v>
      </c>
      <c r="AW232" s="33" t="s">
        <v>542</v>
      </c>
      <c r="AX232" s="33" t="s">
        <v>81</v>
      </c>
      <c r="AY232" s="33" t="s">
        <v>81</v>
      </c>
    </row>
    <row r="233" spans="1:51" ht="30" customHeight="1" x14ac:dyDescent="0.3">
      <c r="A233" s="34" t="s">
        <v>4</v>
      </c>
      <c r="B233" s="34" t="s">
        <v>168</v>
      </c>
      <c r="C233" s="34" t="s">
        <v>3</v>
      </c>
      <c r="D233" s="30">
        <v>2E-3</v>
      </c>
      <c r="E233" s="31">
        <f>[1]단가대비표!O55</f>
        <v>0</v>
      </c>
      <c r="F233" s="32">
        <f>TRUNC(E233*D233,1)</f>
        <v>0</v>
      </c>
      <c r="G233" s="31">
        <f>[1]단가대비표!P55</f>
        <v>138989</v>
      </c>
      <c r="H233" s="32">
        <f>TRUNC(G233*D233,1)</f>
        <v>277.89999999999998</v>
      </c>
      <c r="I233" s="31">
        <f>[1]단가대비표!V55</f>
        <v>0</v>
      </c>
      <c r="J233" s="32">
        <f>TRUNC(I233*D233,1)</f>
        <v>0</v>
      </c>
      <c r="K233" s="31">
        <f t="shared" si="23"/>
        <v>138989</v>
      </c>
      <c r="L233" s="32">
        <f t="shared" si="23"/>
        <v>277.89999999999998</v>
      </c>
      <c r="M233" s="34" t="s">
        <v>81</v>
      </c>
      <c r="N233" s="33" t="s">
        <v>398</v>
      </c>
      <c r="O233" s="33" t="s">
        <v>171</v>
      </c>
      <c r="P233" s="33" t="s">
        <v>137</v>
      </c>
      <c r="Q233" s="33" t="s">
        <v>137</v>
      </c>
      <c r="R233" s="33" t="s">
        <v>138</v>
      </c>
      <c r="V233">
        <v>1</v>
      </c>
      <c r="AV233" s="33" t="s">
        <v>81</v>
      </c>
      <c r="AW233" s="33" t="s">
        <v>543</v>
      </c>
      <c r="AX233" s="33" t="s">
        <v>81</v>
      </c>
      <c r="AY233" s="33" t="s">
        <v>81</v>
      </c>
    </row>
    <row r="234" spans="1:51" ht="30" customHeight="1" x14ac:dyDescent="0.3">
      <c r="A234" s="34" t="s">
        <v>49</v>
      </c>
      <c r="B234" s="34" t="s">
        <v>168</v>
      </c>
      <c r="C234" s="34" t="s">
        <v>3</v>
      </c>
      <c r="D234" s="30">
        <v>1.2E-2</v>
      </c>
      <c r="E234" s="31">
        <f>[1]단가대비표!O60</f>
        <v>0</v>
      </c>
      <c r="F234" s="32">
        <f>TRUNC(E234*D234,1)</f>
        <v>0</v>
      </c>
      <c r="G234" s="31">
        <f>[1]단가대비표!P60</f>
        <v>200386</v>
      </c>
      <c r="H234" s="32">
        <f>TRUNC(G234*D234,1)</f>
        <v>2404.6</v>
      </c>
      <c r="I234" s="31">
        <f>[1]단가대비표!V60</f>
        <v>0</v>
      </c>
      <c r="J234" s="32">
        <f>TRUNC(I234*D234,1)</f>
        <v>0</v>
      </c>
      <c r="K234" s="31">
        <f t="shared" si="23"/>
        <v>200386</v>
      </c>
      <c r="L234" s="32">
        <f t="shared" si="23"/>
        <v>2404.6</v>
      </c>
      <c r="M234" s="34" t="s">
        <v>81</v>
      </c>
      <c r="N234" s="33" t="s">
        <v>398</v>
      </c>
      <c r="O234" s="33" t="s">
        <v>432</v>
      </c>
      <c r="P234" s="33" t="s">
        <v>137</v>
      </c>
      <c r="Q234" s="33" t="s">
        <v>137</v>
      </c>
      <c r="R234" s="33" t="s">
        <v>138</v>
      </c>
      <c r="V234">
        <v>1</v>
      </c>
      <c r="AV234" s="33" t="s">
        <v>81</v>
      </c>
      <c r="AW234" s="33" t="s">
        <v>542</v>
      </c>
      <c r="AX234" s="33" t="s">
        <v>81</v>
      </c>
      <c r="AY234" s="33" t="s">
        <v>81</v>
      </c>
    </row>
    <row r="235" spans="1:51" ht="30" customHeight="1" x14ac:dyDescent="0.3">
      <c r="A235" s="34" t="s">
        <v>4</v>
      </c>
      <c r="B235" s="34" t="s">
        <v>168</v>
      </c>
      <c r="C235" s="34" t="s">
        <v>3</v>
      </c>
      <c r="D235" s="30">
        <v>2E-3</v>
      </c>
      <c r="E235" s="31">
        <f>[1]단가대비표!O55</f>
        <v>0</v>
      </c>
      <c r="F235" s="32">
        <f>TRUNC(E235*D235,1)</f>
        <v>0</v>
      </c>
      <c r="G235" s="31">
        <f>[1]단가대비표!P55</f>
        <v>138989</v>
      </c>
      <c r="H235" s="32">
        <f>TRUNC(G235*D235,1)</f>
        <v>277.89999999999998</v>
      </c>
      <c r="I235" s="31">
        <f>[1]단가대비표!V55</f>
        <v>0</v>
      </c>
      <c r="J235" s="32">
        <f>TRUNC(I235*D235,1)</f>
        <v>0</v>
      </c>
      <c r="K235" s="31">
        <f t="shared" si="23"/>
        <v>138989</v>
      </c>
      <c r="L235" s="32">
        <f t="shared" si="23"/>
        <v>277.89999999999998</v>
      </c>
      <c r="M235" s="34" t="s">
        <v>81</v>
      </c>
      <c r="N235" s="33" t="s">
        <v>398</v>
      </c>
      <c r="O235" s="33" t="s">
        <v>171</v>
      </c>
      <c r="P235" s="33" t="s">
        <v>137</v>
      </c>
      <c r="Q235" s="33" t="s">
        <v>137</v>
      </c>
      <c r="R235" s="33" t="s">
        <v>138</v>
      </c>
      <c r="V235">
        <v>1</v>
      </c>
      <c r="AV235" s="33" t="s">
        <v>81</v>
      </c>
      <c r="AW235" s="33" t="s">
        <v>543</v>
      </c>
      <c r="AX235" s="33" t="s">
        <v>81</v>
      </c>
      <c r="AY235" s="33" t="s">
        <v>81</v>
      </c>
    </row>
    <row r="236" spans="1:51" ht="30" customHeight="1" x14ac:dyDescent="0.3">
      <c r="A236" s="34" t="s">
        <v>497</v>
      </c>
      <c r="B236" s="34" t="s">
        <v>544</v>
      </c>
      <c r="C236" s="34" t="s">
        <v>5</v>
      </c>
      <c r="D236" s="30">
        <v>1</v>
      </c>
      <c r="E236" s="31">
        <v>0</v>
      </c>
      <c r="F236" s="32">
        <f>TRUNC(E236*D236,1)</f>
        <v>0</v>
      </c>
      <c r="G236" s="31">
        <f>TRUNC(SUMIF(V232:V236, RIGHTB(O236, 1), H232:H236)*U236, 2)</f>
        <v>1073</v>
      </c>
      <c r="H236" s="32">
        <f>TRUNC(G236*D236,1)</f>
        <v>1073</v>
      </c>
      <c r="I236" s="31">
        <v>0</v>
      </c>
      <c r="J236" s="32">
        <f>TRUNC(I236*D236,1)</f>
        <v>0</v>
      </c>
      <c r="K236" s="31">
        <f t="shared" si="23"/>
        <v>1073</v>
      </c>
      <c r="L236" s="32">
        <f t="shared" si="23"/>
        <v>1073</v>
      </c>
      <c r="M236" s="34" t="s">
        <v>81</v>
      </c>
      <c r="N236" s="33" t="s">
        <v>398</v>
      </c>
      <c r="O236" s="33" t="s">
        <v>173</v>
      </c>
      <c r="P236" s="33" t="s">
        <v>137</v>
      </c>
      <c r="Q236" s="33" t="s">
        <v>137</v>
      </c>
      <c r="R236" s="33" t="s">
        <v>137</v>
      </c>
      <c r="S236">
        <v>1</v>
      </c>
      <c r="T236">
        <v>1</v>
      </c>
      <c r="U236">
        <v>0.2</v>
      </c>
      <c r="AV236" s="33" t="s">
        <v>81</v>
      </c>
      <c r="AW236" s="33" t="s">
        <v>545</v>
      </c>
      <c r="AX236" s="33" t="s">
        <v>81</v>
      </c>
      <c r="AY236" s="33" t="s">
        <v>81</v>
      </c>
    </row>
    <row r="237" spans="1:51" ht="30" customHeight="1" x14ac:dyDescent="0.3">
      <c r="A237" s="34" t="s">
        <v>177</v>
      </c>
      <c r="B237" s="34" t="s">
        <v>81</v>
      </c>
      <c r="C237" s="34" t="s">
        <v>81</v>
      </c>
      <c r="D237" s="30"/>
      <c r="E237" s="31"/>
      <c r="F237" s="32">
        <f>TRUNC(SUMIF(N232:N236, N231, F232:F236),0)</f>
        <v>0</v>
      </c>
      <c r="G237" s="31"/>
      <c r="H237" s="32">
        <f>TRUNC(SUMIF(N232:N236, N231, H232:H236),0)</f>
        <v>6438</v>
      </c>
      <c r="I237" s="31"/>
      <c r="J237" s="32">
        <f>TRUNC(SUMIF(N232:N236, N231, J232:J236),0)</f>
        <v>0</v>
      </c>
      <c r="K237" s="31"/>
      <c r="L237" s="32">
        <f>F237+H237+J237</f>
        <v>6438</v>
      </c>
      <c r="M237" s="34" t="s">
        <v>81</v>
      </c>
      <c r="N237" s="33" t="s">
        <v>178</v>
      </c>
      <c r="O237" s="33" t="s">
        <v>178</v>
      </c>
      <c r="P237" s="33" t="s">
        <v>81</v>
      </c>
      <c r="Q237" s="33" t="s">
        <v>81</v>
      </c>
      <c r="R237" s="33" t="s">
        <v>81</v>
      </c>
      <c r="AV237" s="33" t="s">
        <v>81</v>
      </c>
      <c r="AW237" s="33" t="s">
        <v>81</v>
      </c>
      <c r="AX237" s="33" t="s">
        <v>81</v>
      </c>
      <c r="AY237" s="33" t="s">
        <v>81</v>
      </c>
    </row>
  </sheetData>
  <mergeCells count="84">
    <mergeCell ref="S1:S2"/>
    <mergeCell ref="A1:A2"/>
    <mergeCell ref="B1:B2"/>
    <mergeCell ref="C1:C2"/>
    <mergeCell ref="D1:D2"/>
    <mergeCell ref="E1:F1"/>
    <mergeCell ref="G1:H1"/>
    <mergeCell ref="I1:J1"/>
    <mergeCell ref="K1:L1"/>
    <mergeCell ref="M1:M2"/>
    <mergeCell ref="N1:N2"/>
    <mergeCell ref="O1:O2"/>
    <mergeCell ref="P1:P2"/>
    <mergeCell ref="Q1:Q2"/>
    <mergeCell ref="R1:R2"/>
    <mergeCell ref="AE1:AE2"/>
    <mergeCell ref="T1:T2"/>
    <mergeCell ref="U1:U2"/>
    <mergeCell ref="V1:V2"/>
    <mergeCell ref="W1:W2"/>
    <mergeCell ref="X1:X2"/>
    <mergeCell ref="Y1:Y2"/>
    <mergeCell ref="AU1:AU2"/>
    <mergeCell ref="AV1:AV2"/>
    <mergeCell ref="AW1:AW2"/>
    <mergeCell ref="AL1:AL2"/>
    <mergeCell ref="AM1:AM2"/>
    <mergeCell ref="AN1:AN2"/>
    <mergeCell ref="AO1:AO2"/>
    <mergeCell ref="AP1:AP2"/>
    <mergeCell ref="AQ1:AQ2"/>
    <mergeCell ref="A51:M51"/>
    <mergeCell ref="A21:M21"/>
    <mergeCell ref="AR1:AR2"/>
    <mergeCell ref="AS1:AS2"/>
    <mergeCell ref="AT1:AT2"/>
    <mergeCell ref="AF1:AF2"/>
    <mergeCell ref="AG1:AG2"/>
    <mergeCell ref="AH1:AH2"/>
    <mergeCell ref="AI1:AI2"/>
    <mergeCell ref="AJ1:AJ2"/>
    <mergeCell ref="AK1:AK2"/>
    <mergeCell ref="Z1:Z2"/>
    <mergeCell ref="AA1:AA2"/>
    <mergeCell ref="AB1:AB2"/>
    <mergeCell ref="AC1:AC2"/>
    <mergeCell ref="AD1:AD2"/>
    <mergeCell ref="A26:M26"/>
    <mergeCell ref="A31:M31"/>
    <mergeCell ref="A36:M36"/>
    <mergeCell ref="A42:M42"/>
    <mergeCell ref="A46:M46"/>
    <mergeCell ref="A113:M113"/>
    <mergeCell ref="A56:M56"/>
    <mergeCell ref="A60:M60"/>
    <mergeCell ref="A65:M65"/>
    <mergeCell ref="A71:M71"/>
    <mergeCell ref="A76:M76"/>
    <mergeCell ref="A81:M81"/>
    <mergeCell ref="A87:M87"/>
    <mergeCell ref="A92:M92"/>
    <mergeCell ref="A97:M97"/>
    <mergeCell ref="A102:M102"/>
    <mergeCell ref="A108:M108"/>
    <mergeCell ref="A181:M181"/>
    <mergeCell ref="A119:M119"/>
    <mergeCell ref="A124:M124"/>
    <mergeCell ref="A129:M129"/>
    <mergeCell ref="A135:M135"/>
    <mergeCell ref="A141:M141"/>
    <mergeCell ref="A147:M147"/>
    <mergeCell ref="A152:M152"/>
    <mergeCell ref="A159:M159"/>
    <mergeCell ref="A164:M164"/>
    <mergeCell ref="A170:M170"/>
    <mergeCell ref="A176:M176"/>
    <mergeCell ref="A226:M226"/>
    <mergeCell ref="A231:M231"/>
    <mergeCell ref="A187:M187"/>
    <mergeCell ref="A193:M193"/>
    <mergeCell ref="A199:M199"/>
    <mergeCell ref="A203:M203"/>
    <mergeCell ref="A213:M213"/>
    <mergeCell ref="A218:M218"/>
  </mergeCells>
  <phoneticPr fontId="3" type="noConversion"/>
  <pageMargins left="0.78740157480314954" right="0" top="0.39370078740157477" bottom="0.39370078740157477" header="0" footer="0"/>
  <pageSetup paperSize="9" scale="66" fitToHeight="0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8FD4-EC06-4503-83B4-FDBF05AA2F60}">
  <sheetPr>
    <pageSetUpPr fitToPage="1"/>
  </sheetPr>
  <dimension ref="A1:AB61"/>
  <sheetViews>
    <sheetView topLeftCell="B66" workbookViewId="0">
      <selection activeCell="L7" sqref="L7"/>
    </sheetView>
  </sheetViews>
  <sheetFormatPr defaultRowHeight="16.5" x14ac:dyDescent="0.3"/>
  <cols>
    <col min="1" max="1" width="21.625" hidden="1" customWidth="1"/>
    <col min="2" max="3" width="30.5" bestFit="1" customWidth="1"/>
    <col min="4" max="4" width="5.5" bestFit="1" customWidth="1"/>
    <col min="5" max="5" width="11.625" bestFit="1" customWidth="1"/>
    <col min="6" max="6" width="6.625" bestFit="1" customWidth="1"/>
    <col min="7" max="7" width="10.5" bestFit="1" customWidth="1"/>
    <col min="8" max="8" width="6.625" bestFit="1" customWidth="1"/>
    <col min="9" max="9" width="10.5" bestFit="1" customWidth="1"/>
    <col min="10" max="10" width="6.625" bestFit="1" customWidth="1"/>
    <col min="11" max="11" width="13.875" bestFit="1" customWidth="1"/>
    <col min="12" max="12" width="7.5" bestFit="1" customWidth="1"/>
    <col min="13" max="13" width="10.375" bestFit="1" customWidth="1"/>
    <col min="14" max="14" width="6.625" bestFit="1" customWidth="1"/>
    <col min="15" max="15" width="13.875" bestFit="1" customWidth="1"/>
    <col min="16" max="16" width="11.62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0.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270" t="s">
        <v>551</v>
      </c>
      <c r="B1" s="270" t="s">
        <v>179</v>
      </c>
      <c r="C1" s="270" t="s">
        <v>552</v>
      </c>
      <c r="D1" s="270" t="s">
        <v>181</v>
      </c>
      <c r="E1" s="270" t="s">
        <v>183</v>
      </c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 t="s">
        <v>553</v>
      </c>
      <c r="Q1" s="270" t="s">
        <v>554</v>
      </c>
      <c r="R1" s="270"/>
      <c r="S1" s="270"/>
      <c r="T1" s="270"/>
      <c r="U1" s="270"/>
      <c r="V1" s="270"/>
      <c r="W1" s="270" t="s">
        <v>555</v>
      </c>
      <c r="X1" s="270" t="s">
        <v>187</v>
      </c>
      <c r="Y1" s="269" t="s">
        <v>556</v>
      </c>
      <c r="Z1" s="269" t="s">
        <v>557</v>
      </c>
      <c r="AA1" s="269" t="s">
        <v>558</v>
      </c>
      <c r="AB1" s="269" t="s">
        <v>222</v>
      </c>
    </row>
    <row r="2" spans="1:28" ht="30" customHeight="1" x14ac:dyDescent="0.3">
      <c r="A2" s="270"/>
      <c r="B2" s="270"/>
      <c r="C2" s="270"/>
      <c r="D2" s="270"/>
      <c r="E2" s="35" t="s">
        <v>559</v>
      </c>
      <c r="F2" s="35" t="s">
        <v>560</v>
      </c>
      <c r="G2" s="35" t="s">
        <v>561</v>
      </c>
      <c r="H2" s="35" t="s">
        <v>560</v>
      </c>
      <c r="I2" s="35" t="s">
        <v>562</v>
      </c>
      <c r="J2" s="35" t="s">
        <v>560</v>
      </c>
      <c r="K2" s="35" t="s">
        <v>563</v>
      </c>
      <c r="L2" s="35" t="s">
        <v>560</v>
      </c>
      <c r="M2" s="35" t="s">
        <v>564</v>
      </c>
      <c r="N2" s="35" t="s">
        <v>560</v>
      </c>
      <c r="O2" s="35" t="s">
        <v>565</v>
      </c>
      <c r="P2" s="270"/>
      <c r="Q2" s="35" t="s">
        <v>559</v>
      </c>
      <c r="R2" s="35" t="s">
        <v>561</v>
      </c>
      <c r="S2" s="35" t="s">
        <v>562</v>
      </c>
      <c r="T2" s="35" t="s">
        <v>563</v>
      </c>
      <c r="U2" s="35" t="s">
        <v>564</v>
      </c>
      <c r="V2" s="35" t="s">
        <v>565</v>
      </c>
      <c r="W2" s="270"/>
      <c r="X2" s="270"/>
      <c r="Y2" s="269"/>
      <c r="Z2" s="269"/>
      <c r="AA2" s="269"/>
      <c r="AB2" s="269"/>
    </row>
    <row r="3" spans="1:28" ht="30" customHeight="1" x14ac:dyDescent="0.3">
      <c r="A3" s="34" t="s">
        <v>238</v>
      </c>
      <c r="B3" s="34" t="s">
        <v>236</v>
      </c>
      <c r="C3" s="34" t="s">
        <v>237</v>
      </c>
      <c r="D3" s="36" t="s">
        <v>16</v>
      </c>
      <c r="E3" s="37">
        <v>5795</v>
      </c>
      <c r="F3" s="34" t="s">
        <v>81</v>
      </c>
      <c r="G3" s="37">
        <v>6685.03</v>
      </c>
      <c r="H3" s="34" t="s">
        <v>566</v>
      </c>
      <c r="I3" s="37">
        <v>6439.8</v>
      </c>
      <c r="J3" s="34" t="s">
        <v>567</v>
      </c>
      <c r="K3" s="37">
        <v>0</v>
      </c>
      <c r="L3" s="34" t="s">
        <v>81</v>
      </c>
      <c r="M3" s="37">
        <v>0</v>
      </c>
      <c r="N3" s="34" t="s">
        <v>81</v>
      </c>
      <c r="O3" s="37">
        <f t="shared" ref="O3:O10" si="0">SMALL(E3:M3,COUNTIF(E3:M3,0)+1)</f>
        <v>5795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4" t="s">
        <v>568</v>
      </c>
      <c r="X3" s="34" t="s">
        <v>81</v>
      </c>
      <c r="Y3" s="33" t="s">
        <v>81</v>
      </c>
      <c r="Z3" s="33" t="s">
        <v>81</v>
      </c>
      <c r="AA3" s="38"/>
      <c r="AB3" s="33" t="s">
        <v>81</v>
      </c>
    </row>
    <row r="4" spans="1:28" ht="30" customHeight="1" x14ac:dyDescent="0.3">
      <c r="A4" s="34" t="s">
        <v>295</v>
      </c>
      <c r="B4" s="34" t="s">
        <v>236</v>
      </c>
      <c r="C4" s="34" t="s">
        <v>294</v>
      </c>
      <c r="D4" s="36" t="s">
        <v>16</v>
      </c>
      <c r="E4" s="37">
        <v>7308</v>
      </c>
      <c r="F4" s="34" t="s">
        <v>81</v>
      </c>
      <c r="G4" s="37">
        <v>8834.99</v>
      </c>
      <c r="H4" s="34" t="s">
        <v>566</v>
      </c>
      <c r="I4" s="37">
        <v>7709.62</v>
      </c>
      <c r="J4" s="34" t="s">
        <v>567</v>
      </c>
      <c r="K4" s="37">
        <v>0</v>
      </c>
      <c r="L4" s="34" t="s">
        <v>81</v>
      </c>
      <c r="M4" s="37">
        <v>0</v>
      </c>
      <c r="N4" s="34" t="s">
        <v>81</v>
      </c>
      <c r="O4" s="37">
        <f t="shared" si="0"/>
        <v>7308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4" t="s">
        <v>569</v>
      </c>
      <c r="X4" s="34" t="s">
        <v>81</v>
      </c>
      <c r="Y4" s="33" t="s">
        <v>81</v>
      </c>
      <c r="Z4" s="33" t="s">
        <v>81</v>
      </c>
      <c r="AA4" s="38"/>
      <c r="AB4" s="33" t="s">
        <v>81</v>
      </c>
    </row>
    <row r="5" spans="1:28" ht="30" customHeight="1" x14ac:dyDescent="0.3">
      <c r="A5" s="34" t="s">
        <v>259</v>
      </c>
      <c r="B5" s="34" t="s">
        <v>257</v>
      </c>
      <c r="C5" s="34" t="s">
        <v>258</v>
      </c>
      <c r="D5" s="36" t="s">
        <v>16</v>
      </c>
      <c r="E5" s="37">
        <v>3811</v>
      </c>
      <c r="F5" s="34" t="s">
        <v>81</v>
      </c>
      <c r="G5" s="37">
        <v>4434.29</v>
      </c>
      <c r="H5" s="34" t="s">
        <v>570</v>
      </c>
      <c r="I5" s="37">
        <v>3997.58</v>
      </c>
      <c r="J5" s="34" t="s">
        <v>571</v>
      </c>
      <c r="K5" s="37">
        <v>0</v>
      </c>
      <c r="L5" s="34" t="s">
        <v>81</v>
      </c>
      <c r="M5" s="37">
        <v>0</v>
      </c>
      <c r="N5" s="34" t="s">
        <v>81</v>
      </c>
      <c r="O5" s="37">
        <f t="shared" si="0"/>
        <v>3811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4" t="s">
        <v>572</v>
      </c>
      <c r="X5" s="34" t="s">
        <v>81</v>
      </c>
      <c r="Y5" s="33" t="s">
        <v>81</v>
      </c>
      <c r="Z5" s="33" t="s">
        <v>81</v>
      </c>
      <c r="AA5" s="38"/>
      <c r="AB5" s="33" t="s">
        <v>81</v>
      </c>
    </row>
    <row r="6" spans="1:28" ht="30" customHeight="1" x14ac:dyDescent="0.3">
      <c r="A6" s="34" t="s">
        <v>230</v>
      </c>
      <c r="B6" s="34" t="s">
        <v>228</v>
      </c>
      <c r="C6" s="34" t="s">
        <v>229</v>
      </c>
      <c r="D6" s="36" t="s">
        <v>16</v>
      </c>
      <c r="E6" s="37">
        <v>408</v>
      </c>
      <c r="F6" s="34" t="s">
        <v>81</v>
      </c>
      <c r="G6" s="37">
        <v>408.35</v>
      </c>
      <c r="H6" s="34" t="s">
        <v>573</v>
      </c>
      <c r="I6" s="37">
        <v>0</v>
      </c>
      <c r="J6" s="34" t="s">
        <v>81</v>
      </c>
      <c r="K6" s="37">
        <v>0</v>
      </c>
      <c r="L6" s="34" t="s">
        <v>81</v>
      </c>
      <c r="M6" s="37">
        <v>0</v>
      </c>
      <c r="N6" s="34" t="s">
        <v>81</v>
      </c>
      <c r="O6" s="37">
        <f t="shared" si="0"/>
        <v>408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4" t="s">
        <v>574</v>
      </c>
      <c r="X6" s="34" t="s">
        <v>81</v>
      </c>
      <c r="Y6" s="33" t="s">
        <v>81</v>
      </c>
      <c r="Z6" s="33" t="s">
        <v>81</v>
      </c>
      <c r="AA6" s="38"/>
      <c r="AB6" s="33" t="s">
        <v>81</v>
      </c>
    </row>
    <row r="7" spans="1:28" ht="30" customHeight="1" x14ac:dyDescent="0.3">
      <c r="A7" s="34" t="s">
        <v>286</v>
      </c>
      <c r="B7" s="34" t="s">
        <v>283</v>
      </c>
      <c r="C7" s="34" t="s">
        <v>284</v>
      </c>
      <c r="D7" s="36" t="s">
        <v>285</v>
      </c>
      <c r="E7" s="37">
        <v>1218</v>
      </c>
      <c r="F7" s="34" t="s">
        <v>81</v>
      </c>
      <c r="G7" s="37">
        <v>1500</v>
      </c>
      <c r="H7" s="34" t="s">
        <v>575</v>
      </c>
      <c r="I7" s="37">
        <v>1261</v>
      </c>
      <c r="J7" s="34" t="s">
        <v>576</v>
      </c>
      <c r="K7" s="37">
        <v>0</v>
      </c>
      <c r="L7" s="34" t="s">
        <v>81</v>
      </c>
      <c r="M7" s="37">
        <v>0</v>
      </c>
      <c r="N7" s="34" t="s">
        <v>81</v>
      </c>
      <c r="O7" s="37">
        <f t="shared" si="0"/>
        <v>1218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4" t="s">
        <v>577</v>
      </c>
      <c r="X7" s="34" t="s">
        <v>81</v>
      </c>
      <c r="Y7" s="33" t="s">
        <v>81</v>
      </c>
      <c r="Z7" s="33" t="s">
        <v>81</v>
      </c>
      <c r="AA7" s="38"/>
      <c r="AB7" s="33" t="s">
        <v>81</v>
      </c>
    </row>
    <row r="8" spans="1:28" ht="30" customHeight="1" x14ac:dyDescent="0.3">
      <c r="A8" s="34" t="s">
        <v>162</v>
      </c>
      <c r="B8" s="34" t="s">
        <v>160</v>
      </c>
      <c r="C8" s="34" t="s">
        <v>161</v>
      </c>
      <c r="D8" s="36" t="s">
        <v>132</v>
      </c>
      <c r="E8" s="37">
        <v>0</v>
      </c>
      <c r="F8" s="34" t="s">
        <v>81</v>
      </c>
      <c r="G8" s="37">
        <v>0</v>
      </c>
      <c r="H8" s="34" t="s">
        <v>81</v>
      </c>
      <c r="I8" s="37">
        <v>0</v>
      </c>
      <c r="J8" s="34" t="s">
        <v>81</v>
      </c>
      <c r="K8" s="37">
        <v>0</v>
      </c>
      <c r="L8" s="34" t="s">
        <v>81</v>
      </c>
      <c r="M8" s="37">
        <v>200</v>
      </c>
      <c r="N8" s="34" t="s">
        <v>81</v>
      </c>
      <c r="O8" s="37">
        <f t="shared" si="0"/>
        <v>200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4" t="s">
        <v>578</v>
      </c>
      <c r="X8" s="34" t="s">
        <v>81</v>
      </c>
      <c r="Y8" s="33" t="s">
        <v>81</v>
      </c>
      <c r="Z8" s="33" t="s">
        <v>81</v>
      </c>
      <c r="AA8" s="38"/>
      <c r="AB8" s="33" t="s">
        <v>81</v>
      </c>
    </row>
    <row r="9" spans="1:28" ht="30" customHeight="1" x14ac:dyDescent="0.3">
      <c r="A9" s="34" t="s">
        <v>453</v>
      </c>
      <c r="B9" s="34" t="s">
        <v>451</v>
      </c>
      <c r="C9" s="34" t="s">
        <v>452</v>
      </c>
      <c r="D9" s="36" t="s">
        <v>16</v>
      </c>
      <c r="E9" s="37">
        <v>7342</v>
      </c>
      <c r="F9" s="34" t="s">
        <v>81</v>
      </c>
      <c r="G9" s="37">
        <v>8730</v>
      </c>
      <c r="H9" s="34" t="s">
        <v>579</v>
      </c>
      <c r="I9" s="37">
        <v>8320</v>
      </c>
      <c r="J9" s="34" t="s">
        <v>580</v>
      </c>
      <c r="K9" s="37">
        <v>0</v>
      </c>
      <c r="L9" s="34" t="s">
        <v>81</v>
      </c>
      <c r="M9" s="37">
        <v>0</v>
      </c>
      <c r="N9" s="34" t="s">
        <v>81</v>
      </c>
      <c r="O9" s="37">
        <f t="shared" si="0"/>
        <v>7342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4" t="s">
        <v>581</v>
      </c>
      <c r="X9" s="34" t="s">
        <v>81</v>
      </c>
      <c r="Y9" s="33" t="s">
        <v>81</v>
      </c>
      <c r="Z9" s="33" t="s">
        <v>81</v>
      </c>
      <c r="AA9" s="38"/>
      <c r="AB9" s="33" t="s">
        <v>81</v>
      </c>
    </row>
    <row r="10" spans="1:28" ht="30" customHeight="1" x14ac:dyDescent="0.3">
      <c r="A10" s="34" t="s">
        <v>476</v>
      </c>
      <c r="B10" s="34" t="s">
        <v>474</v>
      </c>
      <c r="C10" s="34" t="s">
        <v>475</v>
      </c>
      <c r="D10" s="36" t="s">
        <v>16</v>
      </c>
      <c r="E10" s="37">
        <v>141</v>
      </c>
      <c r="F10" s="34" t="s">
        <v>81</v>
      </c>
      <c r="G10" s="37">
        <v>217.71</v>
      </c>
      <c r="H10" s="34" t="s">
        <v>573</v>
      </c>
      <c r="I10" s="37">
        <v>0</v>
      </c>
      <c r="J10" s="34" t="s">
        <v>81</v>
      </c>
      <c r="K10" s="37">
        <v>0</v>
      </c>
      <c r="L10" s="34" t="s">
        <v>81</v>
      </c>
      <c r="M10" s="37">
        <v>0</v>
      </c>
      <c r="N10" s="34" t="s">
        <v>81</v>
      </c>
      <c r="O10" s="37">
        <f t="shared" si="0"/>
        <v>141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4" t="s">
        <v>582</v>
      </c>
      <c r="X10" s="34" t="s">
        <v>81</v>
      </c>
      <c r="Y10" s="33" t="s">
        <v>81</v>
      </c>
      <c r="Z10" s="33" t="s">
        <v>81</v>
      </c>
      <c r="AA10" s="38"/>
      <c r="AB10" s="33" t="s">
        <v>81</v>
      </c>
    </row>
    <row r="11" spans="1:28" ht="30" customHeight="1" x14ac:dyDescent="0.3">
      <c r="A11" s="34" t="s">
        <v>480</v>
      </c>
      <c r="B11" s="34" t="s">
        <v>478</v>
      </c>
      <c r="C11" s="34" t="s">
        <v>479</v>
      </c>
      <c r="D11" s="36" t="s">
        <v>16</v>
      </c>
      <c r="E11" s="37">
        <v>0</v>
      </c>
      <c r="F11" s="34" t="s">
        <v>81</v>
      </c>
      <c r="G11" s="37">
        <v>0</v>
      </c>
      <c r="H11" s="34" t="s">
        <v>81</v>
      </c>
      <c r="I11" s="37">
        <v>0</v>
      </c>
      <c r="J11" s="34" t="s">
        <v>81</v>
      </c>
      <c r="K11" s="37">
        <v>0</v>
      </c>
      <c r="L11" s="34" t="s">
        <v>81</v>
      </c>
      <c r="M11" s="37">
        <v>0</v>
      </c>
      <c r="N11" s="34" t="s">
        <v>81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4" t="s">
        <v>583</v>
      </c>
      <c r="X11" s="34" t="s">
        <v>81</v>
      </c>
      <c r="Y11" s="33" t="s">
        <v>81</v>
      </c>
      <c r="Z11" s="33" t="s">
        <v>81</v>
      </c>
      <c r="AA11" s="38"/>
      <c r="AB11" s="33" t="s">
        <v>81</v>
      </c>
    </row>
    <row r="12" spans="1:28" ht="30" customHeight="1" x14ac:dyDescent="0.3">
      <c r="A12" s="34" t="s">
        <v>303</v>
      </c>
      <c r="B12" s="34" t="s">
        <v>300</v>
      </c>
      <c r="C12" s="34" t="s">
        <v>301</v>
      </c>
      <c r="D12" s="36" t="s">
        <v>16</v>
      </c>
      <c r="E12" s="37">
        <v>0</v>
      </c>
      <c r="F12" s="34" t="s">
        <v>81</v>
      </c>
      <c r="G12" s="37">
        <v>34000</v>
      </c>
      <c r="H12" s="34" t="s">
        <v>584</v>
      </c>
      <c r="I12" s="37">
        <v>0</v>
      </c>
      <c r="J12" s="34" t="s">
        <v>81</v>
      </c>
      <c r="K12" s="37">
        <v>0</v>
      </c>
      <c r="L12" s="34" t="s">
        <v>81</v>
      </c>
      <c r="M12" s="37">
        <v>0</v>
      </c>
      <c r="N12" s="34" t="s">
        <v>81</v>
      </c>
      <c r="O12" s="37">
        <f t="shared" ref="O12:O47" si="1">SMALL(E12:M12,COUNTIF(E12:M12,0)+1)</f>
        <v>34000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4" t="s">
        <v>585</v>
      </c>
      <c r="X12" s="34" t="s">
        <v>81</v>
      </c>
      <c r="Y12" s="33" t="s">
        <v>81</v>
      </c>
      <c r="Z12" s="33" t="s">
        <v>81</v>
      </c>
      <c r="AA12" s="38"/>
      <c r="AB12" s="33" t="s">
        <v>81</v>
      </c>
    </row>
    <row r="13" spans="1:28" ht="30" customHeight="1" x14ac:dyDescent="0.3">
      <c r="A13" s="34" t="s">
        <v>464</v>
      </c>
      <c r="B13" s="34" t="s">
        <v>462</v>
      </c>
      <c r="C13" s="34" t="s">
        <v>463</v>
      </c>
      <c r="D13" s="36" t="s">
        <v>16</v>
      </c>
      <c r="E13" s="37">
        <v>1728</v>
      </c>
      <c r="F13" s="34" t="s">
        <v>81</v>
      </c>
      <c r="G13" s="37">
        <v>2098.7600000000002</v>
      </c>
      <c r="H13" s="34" t="s">
        <v>586</v>
      </c>
      <c r="I13" s="37">
        <v>1833.33</v>
      </c>
      <c r="J13" s="34" t="s">
        <v>587</v>
      </c>
      <c r="K13" s="37">
        <v>0</v>
      </c>
      <c r="L13" s="34" t="s">
        <v>81</v>
      </c>
      <c r="M13" s="37">
        <v>0</v>
      </c>
      <c r="N13" s="34" t="s">
        <v>81</v>
      </c>
      <c r="O13" s="37">
        <f t="shared" si="1"/>
        <v>1728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4" t="s">
        <v>588</v>
      </c>
      <c r="X13" s="34" t="s">
        <v>81</v>
      </c>
      <c r="Y13" s="33" t="s">
        <v>81</v>
      </c>
      <c r="Z13" s="33" t="s">
        <v>81</v>
      </c>
      <c r="AA13" s="38"/>
      <c r="AB13" s="33" t="s">
        <v>81</v>
      </c>
    </row>
    <row r="14" spans="1:28" ht="30" customHeight="1" x14ac:dyDescent="0.3">
      <c r="A14" s="34" t="s">
        <v>589</v>
      </c>
      <c r="B14" s="34" t="s">
        <v>590</v>
      </c>
      <c r="C14" s="34" t="s">
        <v>591</v>
      </c>
      <c r="D14" s="36" t="s">
        <v>16</v>
      </c>
      <c r="E14" s="37">
        <v>7000</v>
      </c>
      <c r="F14" s="34" t="s">
        <v>81</v>
      </c>
      <c r="G14" s="37">
        <v>8200</v>
      </c>
      <c r="H14" s="34" t="s">
        <v>592</v>
      </c>
      <c r="I14" s="37">
        <v>0</v>
      </c>
      <c r="J14" s="34" t="s">
        <v>81</v>
      </c>
      <c r="K14" s="37">
        <v>0</v>
      </c>
      <c r="L14" s="34" t="s">
        <v>81</v>
      </c>
      <c r="M14" s="37">
        <v>0</v>
      </c>
      <c r="N14" s="34" t="s">
        <v>81</v>
      </c>
      <c r="O14" s="37">
        <f t="shared" si="1"/>
        <v>7000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4" t="s">
        <v>593</v>
      </c>
      <c r="X14" s="34" t="s">
        <v>81</v>
      </c>
      <c r="Y14" s="33" t="s">
        <v>81</v>
      </c>
      <c r="Z14" s="33" t="s">
        <v>81</v>
      </c>
      <c r="AA14" s="38"/>
      <c r="AB14" s="33" t="s">
        <v>81</v>
      </c>
    </row>
    <row r="15" spans="1:28" ht="30" customHeight="1" x14ac:dyDescent="0.3">
      <c r="A15" s="34" t="s">
        <v>136</v>
      </c>
      <c r="B15" s="34" t="s">
        <v>134</v>
      </c>
      <c r="C15" s="34" t="s">
        <v>135</v>
      </c>
      <c r="D15" s="36" t="s">
        <v>132</v>
      </c>
      <c r="E15" s="37">
        <v>0</v>
      </c>
      <c r="F15" s="34" t="s">
        <v>81</v>
      </c>
      <c r="G15" s="37">
        <v>2140</v>
      </c>
      <c r="H15" s="34" t="s">
        <v>594</v>
      </c>
      <c r="I15" s="37">
        <v>0</v>
      </c>
      <c r="J15" s="34" t="s">
        <v>81</v>
      </c>
      <c r="K15" s="37">
        <v>0</v>
      </c>
      <c r="L15" s="34" t="s">
        <v>81</v>
      </c>
      <c r="M15" s="37">
        <v>0</v>
      </c>
      <c r="N15" s="34" t="s">
        <v>81</v>
      </c>
      <c r="O15" s="37">
        <f t="shared" si="1"/>
        <v>2140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4" t="s">
        <v>595</v>
      </c>
      <c r="X15" s="34" t="s">
        <v>81</v>
      </c>
      <c r="Y15" s="33" t="s">
        <v>81</v>
      </c>
      <c r="Z15" s="33" t="s">
        <v>81</v>
      </c>
      <c r="AA15" s="38"/>
      <c r="AB15" s="33" t="s">
        <v>81</v>
      </c>
    </row>
    <row r="16" spans="1:28" ht="30" customHeight="1" x14ac:dyDescent="0.3">
      <c r="A16" s="34" t="s">
        <v>141</v>
      </c>
      <c r="B16" s="34" t="s">
        <v>139</v>
      </c>
      <c r="C16" s="34" t="s">
        <v>140</v>
      </c>
      <c r="D16" s="36" t="s">
        <v>132</v>
      </c>
      <c r="E16" s="37">
        <v>0</v>
      </c>
      <c r="F16" s="34" t="s">
        <v>81</v>
      </c>
      <c r="G16" s="37">
        <v>2580</v>
      </c>
      <c r="H16" s="34" t="s">
        <v>594</v>
      </c>
      <c r="I16" s="37">
        <v>2580</v>
      </c>
      <c r="J16" s="34" t="s">
        <v>596</v>
      </c>
      <c r="K16" s="37">
        <v>0</v>
      </c>
      <c r="L16" s="34" t="s">
        <v>81</v>
      </c>
      <c r="M16" s="37">
        <v>0</v>
      </c>
      <c r="N16" s="34" t="s">
        <v>81</v>
      </c>
      <c r="O16" s="37">
        <f t="shared" si="1"/>
        <v>2580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4" t="s">
        <v>597</v>
      </c>
      <c r="X16" s="34" t="s">
        <v>81</v>
      </c>
      <c r="Y16" s="33" t="s">
        <v>81</v>
      </c>
      <c r="Z16" s="33" t="s">
        <v>81</v>
      </c>
      <c r="AA16" s="38"/>
      <c r="AB16" s="33" t="s">
        <v>81</v>
      </c>
    </row>
    <row r="17" spans="1:28" ht="30" customHeight="1" x14ac:dyDescent="0.3">
      <c r="A17" s="34" t="s">
        <v>145</v>
      </c>
      <c r="B17" s="34" t="s">
        <v>142</v>
      </c>
      <c r="C17" s="34" t="s">
        <v>143</v>
      </c>
      <c r="D17" s="36" t="s">
        <v>144</v>
      </c>
      <c r="E17" s="37">
        <v>0</v>
      </c>
      <c r="F17" s="34" t="s">
        <v>81</v>
      </c>
      <c r="G17" s="37">
        <v>0</v>
      </c>
      <c r="H17" s="34" t="s">
        <v>81</v>
      </c>
      <c r="I17" s="37">
        <v>0</v>
      </c>
      <c r="J17" s="34" t="s">
        <v>81</v>
      </c>
      <c r="K17" s="37">
        <v>250</v>
      </c>
      <c r="L17" s="34" t="s">
        <v>81</v>
      </c>
      <c r="M17" s="37">
        <v>0</v>
      </c>
      <c r="N17" s="34" t="s">
        <v>81</v>
      </c>
      <c r="O17" s="37">
        <f t="shared" si="1"/>
        <v>250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4" t="s">
        <v>598</v>
      </c>
      <c r="X17" s="34" t="s">
        <v>81</v>
      </c>
      <c r="Y17" s="33" t="s">
        <v>81</v>
      </c>
      <c r="Z17" s="33" t="s">
        <v>81</v>
      </c>
      <c r="AA17" s="38"/>
      <c r="AB17" s="33" t="s">
        <v>81</v>
      </c>
    </row>
    <row r="18" spans="1:28" ht="30" customHeight="1" x14ac:dyDescent="0.3">
      <c r="A18" s="34" t="s">
        <v>148</v>
      </c>
      <c r="B18" s="34" t="s">
        <v>146</v>
      </c>
      <c r="C18" s="34" t="s">
        <v>147</v>
      </c>
      <c r="D18" s="36" t="s">
        <v>132</v>
      </c>
      <c r="E18" s="37">
        <v>0</v>
      </c>
      <c r="F18" s="34" t="s">
        <v>81</v>
      </c>
      <c r="G18" s="37">
        <v>1410</v>
      </c>
      <c r="H18" s="34" t="s">
        <v>594</v>
      </c>
      <c r="I18" s="37">
        <v>1410</v>
      </c>
      <c r="J18" s="34" t="s">
        <v>596</v>
      </c>
      <c r="K18" s="37">
        <v>0</v>
      </c>
      <c r="L18" s="34" t="s">
        <v>81</v>
      </c>
      <c r="M18" s="37">
        <v>0</v>
      </c>
      <c r="N18" s="34" t="s">
        <v>81</v>
      </c>
      <c r="O18" s="37">
        <f t="shared" si="1"/>
        <v>1410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4" t="s">
        <v>599</v>
      </c>
      <c r="X18" s="34" t="s">
        <v>81</v>
      </c>
      <c r="Y18" s="33" t="s">
        <v>81</v>
      </c>
      <c r="Z18" s="33" t="s">
        <v>81</v>
      </c>
      <c r="AA18" s="38"/>
      <c r="AB18" s="33" t="s">
        <v>81</v>
      </c>
    </row>
    <row r="19" spans="1:28" ht="30" customHeight="1" x14ac:dyDescent="0.3">
      <c r="A19" s="34" t="s">
        <v>151</v>
      </c>
      <c r="B19" s="34" t="s">
        <v>149</v>
      </c>
      <c r="C19" s="34" t="s">
        <v>150</v>
      </c>
      <c r="D19" s="36" t="s">
        <v>144</v>
      </c>
      <c r="E19" s="37">
        <v>0</v>
      </c>
      <c r="F19" s="34" t="s">
        <v>81</v>
      </c>
      <c r="G19" s="37">
        <v>0</v>
      </c>
      <c r="H19" s="34" t="s">
        <v>81</v>
      </c>
      <c r="I19" s="37">
        <v>0</v>
      </c>
      <c r="J19" s="34" t="s">
        <v>81</v>
      </c>
      <c r="K19" s="37">
        <v>285</v>
      </c>
      <c r="L19" s="34" t="s">
        <v>81</v>
      </c>
      <c r="M19" s="37">
        <v>0</v>
      </c>
      <c r="N19" s="34" t="s">
        <v>81</v>
      </c>
      <c r="O19" s="37">
        <f t="shared" si="1"/>
        <v>285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4" t="s">
        <v>600</v>
      </c>
      <c r="X19" s="34" t="s">
        <v>81</v>
      </c>
      <c r="Y19" s="33" t="s">
        <v>81</v>
      </c>
      <c r="Z19" s="33" t="s">
        <v>81</v>
      </c>
      <c r="AA19" s="38"/>
      <c r="AB19" s="33" t="s">
        <v>81</v>
      </c>
    </row>
    <row r="20" spans="1:28" ht="30" customHeight="1" x14ac:dyDescent="0.3">
      <c r="A20" s="34" t="s">
        <v>157</v>
      </c>
      <c r="B20" s="34" t="s">
        <v>155</v>
      </c>
      <c r="C20" s="34" t="s">
        <v>156</v>
      </c>
      <c r="D20" s="36" t="s">
        <v>144</v>
      </c>
      <c r="E20" s="37">
        <v>0</v>
      </c>
      <c r="F20" s="34" t="s">
        <v>81</v>
      </c>
      <c r="G20" s="37">
        <v>10.1</v>
      </c>
      <c r="H20" s="34" t="s">
        <v>601</v>
      </c>
      <c r="I20" s="37">
        <v>10.1</v>
      </c>
      <c r="J20" s="34" t="s">
        <v>602</v>
      </c>
      <c r="K20" s="37">
        <v>0</v>
      </c>
      <c r="L20" s="34" t="s">
        <v>81</v>
      </c>
      <c r="M20" s="37">
        <v>0</v>
      </c>
      <c r="N20" s="34" t="s">
        <v>81</v>
      </c>
      <c r="O20" s="37">
        <f t="shared" si="1"/>
        <v>10.1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4" t="s">
        <v>603</v>
      </c>
      <c r="X20" s="34" t="s">
        <v>81</v>
      </c>
      <c r="Y20" s="33" t="s">
        <v>81</v>
      </c>
      <c r="Z20" s="33" t="s">
        <v>81</v>
      </c>
      <c r="AA20" s="38"/>
      <c r="AB20" s="33" t="s">
        <v>81</v>
      </c>
    </row>
    <row r="21" spans="1:28" ht="30" customHeight="1" x14ac:dyDescent="0.3">
      <c r="A21" s="34" t="s">
        <v>159</v>
      </c>
      <c r="B21" s="34" t="s">
        <v>155</v>
      </c>
      <c r="C21" s="34" t="s">
        <v>158</v>
      </c>
      <c r="D21" s="36" t="s">
        <v>144</v>
      </c>
      <c r="E21" s="37">
        <v>0</v>
      </c>
      <c r="F21" s="34" t="s">
        <v>81</v>
      </c>
      <c r="G21" s="37">
        <v>13.7</v>
      </c>
      <c r="H21" s="34" t="s">
        <v>601</v>
      </c>
      <c r="I21" s="37">
        <v>13.7</v>
      </c>
      <c r="J21" s="34" t="s">
        <v>602</v>
      </c>
      <c r="K21" s="37">
        <v>0</v>
      </c>
      <c r="L21" s="34" t="s">
        <v>81</v>
      </c>
      <c r="M21" s="37">
        <v>0</v>
      </c>
      <c r="N21" s="34" t="s">
        <v>81</v>
      </c>
      <c r="O21" s="37">
        <f t="shared" si="1"/>
        <v>13.7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4" t="s">
        <v>604</v>
      </c>
      <c r="X21" s="34" t="s">
        <v>81</v>
      </c>
      <c r="Y21" s="33" t="s">
        <v>81</v>
      </c>
      <c r="Z21" s="33" t="s">
        <v>81</v>
      </c>
      <c r="AA21" s="38"/>
      <c r="AB21" s="33" t="s">
        <v>81</v>
      </c>
    </row>
    <row r="22" spans="1:28" ht="30" customHeight="1" x14ac:dyDescent="0.3">
      <c r="A22" s="34" t="s">
        <v>248</v>
      </c>
      <c r="B22" s="34" t="s">
        <v>246</v>
      </c>
      <c r="C22" s="34" t="s">
        <v>247</v>
      </c>
      <c r="D22" s="36" t="s">
        <v>16</v>
      </c>
      <c r="E22" s="37">
        <v>0</v>
      </c>
      <c r="F22" s="34" t="s">
        <v>81</v>
      </c>
      <c r="G22" s="37">
        <v>10000</v>
      </c>
      <c r="H22" s="34" t="s">
        <v>605</v>
      </c>
      <c r="I22" s="37">
        <v>13000</v>
      </c>
      <c r="J22" s="34" t="s">
        <v>606</v>
      </c>
      <c r="K22" s="37">
        <v>6660</v>
      </c>
      <c r="L22" s="34" t="s">
        <v>81</v>
      </c>
      <c r="M22" s="37">
        <v>0</v>
      </c>
      <c r="N22" s="34" t="s">
        <v>81</v>
      </c>
      <c r="O22" s="37">
        <f t="shared" si="1"/>
        <v>6660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4" t="s">
        <v>607</v>
      </c>
      <c r="X22" s="34" t="s">
        <v>81</v>
      </c>
      <c r="Y22" s="33" t="s">
        <v>81</v>
      </c>
      <c r="Z22" s="33" t="s">
        <v>81</v>
      </c>
      <c r="AA22" s="38"/>
      <c r="AB22" s="33" t="s">
        <v>81</v>
      </c>
    </row>
    <row r="23" spans="1:28" ht="30" customHeight="1" x14ac:dyDescent="0.3">
      <c r="A23" s="34" t="s">
        <v>252</v>
      </c>
      <c r="B23" s="34" t="s">
        <v>250</v>
      </c>
      <c r="C23" s="34" t="s">
        <v>251</v>
      </c>
      <c r="D23" s="36" t="s">
        <v>132</v>
      </c>
      <c r="E23" s="37">
        <v>0</v>
      </c>
      <c r="F23" s="34" t="s">
        <v>81</v>
      </c>
      <c r="G23" s="37">
        <v>0</v>
      </c>
      <c r="H23" s="34" t="s">
        <v>81</v>
      </c>
      <c r="I23" s="37">
        <v>3800</v>
      </c>
      <c r="J23" s="34" t="s">
        <v>608</v>
      </c>
      <c r="K23" s="37">
        <v>0</v>
      </c>
      <c r="L23" s="34" t="s">
        <v>81</v>
      </c>
      <c r="M23" s="37">
        <v>0</v>
      </c>
      <c r="N23" s="34" t="s">
        <v>81</v>
      </c>
      <c r="O23" s="37">
        <f t="shared" si="1"/>
        <v>3800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4" t="s">
        <v>609</v>
      </c>
      <c r="X23" s="34" t="s">
        <v>81</v>
      </c>
      <c r="Y23" s="33" t="s">
        <v>81</v>
      </c>
      <c r="Z23" s="33" t="s">
        <v>81</v>
      </c>
      <c r="AA23" s="38"/>
      <c r="AB23" s="33" t="s">
        <v>81</v>
      </c>
    </row>
    <row r="24" spans="1:28" ht="30" customHeight="1" x14ac:dyDescent="0.3">
      <c r="A24" s="34" t="s">
        <v>610</v>
      </c>
      <c r="B24" s="34" t="s">
        <v>611</v>
      </c>
      <c r="C24" s="34" t="s">
        <v>612</v>
      </c>
      <c r="D24" s="36" t="s">
        <v>144</v>
      </c>
      <c r="E24" s="37">
        <v>200761</v>
      </c>
      <c r="F24" s="34" t="s">
        <v>81</v>
      </c>
      <c r="G24" s="37">
        <v>0</v>
      </c>
      <c r="H24" s="34" t="s">
        <v>81</v>
      </c>
      <c r="I24" s="37">
        <v>0</v>
      </c>
      <c r="J24" s="34" t="s">
        <v>81</v>
      </c>
      <c r="K24" s="37">
        <v>0</v>
      </c>
      <c r="L24" s="34" t="s">
        <v>81</v>
      </c>
      <c r="M24" s="37">
        <v>0</v>
      </c>
      <c r="N24" s="34" t="s">
        <v>81</v>
      </c>
      <c r="O24" s="37">
        <f t="shared" si="1"/>
        <v>200761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4" t="s">
        <v>613</v>
      </c>
      <c r="X24" s="34" t="s">
        <v>614</v>
      </c>
      <c r="Y24" s="33" t="s">
        <v>81</v>
      </c>
      <c r="Z24" s="33" t="s">
        <v>81</v>
      </c>
      <c r="AA24" s="38"/>
      <c r="AB24" s="33" t="s">
        <v>81</v>
      </c>
    </row>
    <row r="25" spans="1:28" ht="30" customHeight="1" x14ac:dyDescent="0.3">
      <c r="A25" s="34" t="s">
        <v>350</v>
      </c>
      <c r="B25" s="34" t="s">
        <v>348</v>
      </c>
      <c r="C25" s="34" t="s">
        <v>349</v>
      </c>
      <c r="D25" s="36" t="s">
        <v>133</v>
      </c>
      <c r="E25" s="37">
        <v>0</v>
      </c>
      <c r="F25" s="34" t="s">
        <v>81</v>
      </c>
      <c r="G25" s="37">
        <v>0</v>
      </c>
      <c r="H25" s="34" t="s">
        <v>81</v>
      </c>
      <c r="I25" s="37">
        <v>0</v>
      </c>
      <c r="J25" s="34" t="s">
        <v>81</v>
      </c>
      <c r="K25" s="37">
        <v>180000</v>
      </c>
      <c r="L25" s="34" t="s">
        <v>615</v>
      </c>
      <c r="M25" s="37">
        <v>0</v>
      </c>
      <c r="N25" s="34" t="s">
        <v>81</v>
      </c>
      <c r="O25" s="37">
        <f t="shared" si="1"/>
        <v>180000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4" t="s">
        <v>616</v>
      </c>
      <c r="X25" s="34" t="s">
        <v>81</v>
      </c>
      <c r="Y25" s="33" t="s">
        <v>81</v>
      </c>
      <c r="Z25" s="33" t="s">
        <v>81</v>
      </c>
      <c r="AA25" s="38"/>
      <c r="AB25" s="33" t="s">
        <v>81</v>
      </c>
    </row>
    <row r="26" spans="1:28" ht="30" customHeight="1" x14ac:dyDescent="0.3">
      <c r="A26" s="34" t="s">
        <v>154</v>
      </c>
      <c r="B26" s="34" t="s">
        <v>152</v>
      </c>
      <c r="C26" s="34" t="s">
        <v>153</v>
      </c>
      <c r="D26" s="36" t="s">
        <v>144</v>
      </c>
      <c r="E26" s="37">
        <v>0</v>
      </c>
      <c r="F26" s="34" t="s">
        <v>81</v>
      </c>
      <c r="G26" s="37">
        <v>7.2</v>
      </c>
      <c r="H26" s="34" t="s">
        <v>617</v>
      </c>
      <c r="I26" s="37">
        <v>7.2</v>
      </c>
      <c r="J26" s="34" t="s">
        <v>602</v>
      </c>
      <c r="K26" s="37">
        <v>0</v>
      </c>
      <c r="L26" s="34" t="s">
        <v>81</v>
      </c>
      <c r="M26" s="37">
        <v>0</v>
      </c>
      <c r="N26" s="34" t="s">
        <v>81</v>
      </c>
      <c r="O26" s="37">
        <f t="shared" si="1"/>
        <v>7.2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4" t="s">
        <v>618</v>
      </c>
      <c r="X26" s="34" t="s">
        <v>81</v>
      </c>
      <c r="Y26" s="33" t="s">
        <v>81</v>
      </c>
      <c r="Z26" s="33" t="s">
        <v>81</v>
      </c>
      <c r="AA26" s="38"/>
      <c r="AB26" s="33" t="s">
        <v>81</v>
      </c>
    </row>
    <row r="27" spans="1:28" ht="30" customHeight="1" x14ac:dyDescent="0.3">
      <c r="A27" s="34" t="s">
        <v>619</v>
      </c>
      <c r="B27" s="34" t="s">
        <v>620</v>
      </c>
      <c r="C27" s="34" t="s">
        <v>621</v>
      </c>
      <c r="D27" s="36" t="s">
        <v>144</v>
      </c>
      <c r="E27" s="37">
        <v>0</v>
      </c>
      <c r="F27" s="34" t="s">
        <v>81</v>
      </c>
      <c r="G27" s="37">
        <v>0</v>
      </c>
      <c r="H27" s="34" t="s">
        <v>81</v>
      </c>
      <c r="I27" s="37">
        <v>0</v>
      </c>
      <c r="J27" s="34" t="s">
        <v>81</v>
      </c>
      <c r="K27" s="37">
        <v>6000</v>
      </c>
      <c r="L27" s="34" t="s">
        <v>81</v>
      </c>
      <c r="M27" s="37">
        <v>0</v>
      </c>
      <c r="N27" s="34" t="s">
        <v>81</v>
      </c>
      <c r="O27" s="37">
        <f t="shared" si="1"/>
        <v>6000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4" t="s">
        <v>622</v>
      </c>
      <c r="X27" s="34" t="s">
        <v>81</v>
      </c>
      <c r="Y27" s="33" t="s">
        <v>81</v>
      </c>
      <c r="Z27" s="33" t="s">
        <v>81</v>
      </c>
      <c r="AA27" s="38"/>
      <c r="AB27" s="33" t="s">
        <v>81</v>
      </c>
    </row>
    <row r="28" spans="1:28" ht="30" customHeight="1" x14ac:dyDescent="0.3">
      <c r="A28" s="34" t="s">
        <v>623</v>
      </c>
      <c r="B28" s="34" t="s">
        <v>624</v>
      </c>
      <c r="C28" s="34" t="s">
        <v>625</v>
      </c>
      <c r="D28" s="36" t="s">
        <v>626</v>
      </c>
      <c r="E28" s="37">
        <v>57800</v>
      </c>
      <c r="F28" s="34" t="s">
        <v>81</v>
      </c>
      <c r="G28" s="37">
        <v>66000</v>
      </c>
      <c r="H28" s="34" t="s">
        <v>627</v>
      </c>
      <c r="I28" s="37">
        <v>66000</v>
      </c>
      <c r="J28" s="34" t="s">
        <v>628</v>
      </c>
      <c r="K28" s="37">
        <v>0</v>
      </c>
      <c r="L28" s="34" t="s">
        <v>81</v>
      </c>
      <c r="M28" s="37">
        <v>0</v>
      </c>
      <c r="N28" s="34" t="s">
        <v>81</v>
      </c>
      <c r="O28" s="37">
        <f t="shared" si="1"/>
        <v>57800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4" t="s">
        <v>629</v>
      </c>
      <c r="X28" s="34" t="s">
        <v>81</v>
      </c>
      <c r="Y28" s="33" t="s">
        <v>81</v>
      </c>
      <c r="Z28" s="33" t="s">
        <v>81</v>
      </c>
      <c r="AA28" s="38"/>
      <c r="AB28" s="33" t="s">
        <v>81</v>
      </c>
    </row>
    <row r="29" spans="1:28" ht="30" customHeight="1" x14ac:dyDescent="0.3">
      <c r="A29" s="34" t="s">
        <v>630</v>
      </c>
      <c r="B29" s="34" t="s">
        <v>631</v>
      </c>
      <c r="C29" s="34" t="s">
        <v>632</v>
      </c>
      <c r="D29" s="36" t="s">
        <v>144</v>
      </c>
      <c r="E29" s="37">
        <v>0</v>
      </c>
      <c r="F29" s="34" t="s">
        <v>81</v>
      </c>
      <c r="G29" s="37">
        <v>0</v>
      </c>
      <c r="H29" s="34" t="s">
        <v>81</v>
      </c>
      <c r="I29" s="37">
        <v>0</v>
      </c>
      <c r="J29" s="34" t="s">
        <v>81</v>
      </c>
      <c r="K29" s="37">
        <v>18000</v>
      </c>
      <c r="L29" s="34" t="s">
        <v>81</v>
      </c>
      <c r="M29" s="37">
        <v>0</v>
      </c>
      <c r="N29" s="34" t="s">
        <v>81</v>
      </c>
      <c r="O29" s="37">
        <f t="shared" si="1"/>
        <v>18000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4" t="s">
        <v>633</v>
      </c>
      <c r="X29" s="34" t="s">
        <v>81</v>
      </c>
      <c r="Y29" s="33" t="s">
        <v>81</v>
      </c>
      <c r="Z29" s="33" t="s">
        <v>81</v>
      </c>
      <c r="AA29" s="38"/>
      <c r="AB29" s="33" t="s">
        <v>81</v>
      </c>
    </row>
    <row r="30" spans="1:28" ht="30" customHeight="1" x14ac:dyDescent="0.3">
      <c r="A30" s="34" t="s">
        <v>634</v>
      </c>
      <c r="B30" s="34" t="s">
        <v>635</v>
      </c>
      <c r="C30" s="34" t="s">
        <v>636</v>
      </c>
      <c r="D30" s="36" t="s">
        <v>626</v>
      </c>
      <c r="E30" s="37">
        <v>0</v>
      </c>
      <c r="F30" s="34" t="s">
        <v>81</v>
      </c>
      <c r="G30" s="37">
        <v>15000</v>
      </c>
      <c r="H30" s="34" t="s">
        <v>637</v>
      </c>
      <c r="I30" s="37">
        <v>15000</v>
      </c>
      <c r="J30" s="34" t="s">
        <v>638</v>
      </c>
      <c r="K30" s="37">
        <v>0</v>
      </c>
      <c r="L30" s="34" t="s">
        <v>81</v>
      </c>
      <c r="M30" s="37">
        <v>0</v>
      </c>
      <c r="N30" s="34" t="s">
        <v>81</v>
      </c>
      <c r="O30" s="37">
        <f t="shared" si="1"/>
        <v>15000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4" t="s">
        <v>639</v>
      </c>
      <c r="X30" s="34" t="s">
        <v>81</v>
      </c>
      <c r="Y30" s="33" t="s">
        <v>81</v>
      </c>
      <c r="Z30" s="33" t="s">
        <v>81</v>
      </c>
      <c r="AA30" s="38"/>
      <c r="AB30" s="33" t="s">
        <v>81</v>
      </c>
    </row>
    <row r="31" spans="1:28" ht="30" customHeight="1" x14ac:dyDescent="0.3">
      <c r="A31" s="34" t="s">
        <v>523</v>
      </c>
      <c r="B31" s="34" t="s">
        <v>520</v>
      </c>
      <c r="C31" s="34" t="s">
        <v>521</v>
      </c>
      <c r="D31" s="36" t="s">
        <v>522</v>
      </c>
      <c r="E31" s="37">
        <v>200</v>
      </c>
      <c r="F31" s="34" t="s">
        <v>81</v>
      </c>
      <c r="G31" s="37">
        <v>230</v>
      </c>
      <c r="H31" s="34" t="s">
        <v>640</v>
      </c>
      <c r="I31" s="37">
        <v>319</v>
      </c>
      <c r="J31" s="34" t="s">
        <v>641</v>
      </c>
      <c r="K31" s="37">
        <v>0</v>
      </c>
      <c r="L31" s="34" t="s">
        <v>81</v>
      </c>
      <c r="M31" s="37">
        <v>0</v>
      </c>
      <c r="N31" s="34" t="s">
        <v>81</v>
      </c>
      <c r="O31" s="37">
        <f t="shared" si="1"/>
        <v>200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4" t="s">
        <v>642</v>
      </c>
      <c r="X31" s="34" t="s">
        <v>81</v>
      </c>
      <c r="Y31" s="33" t="s">
        <v>81</v>
      </c>
      <c r="Z31" s="33" t="s">
        <v>81</v>
      </c>
      <c r="AA31" s="38"/>
      <c r="AB31" s="33" t="s">
        <v>81</v>
      </c>
    </row>
    <row r="32" spans="1:28" ht="30" customHeight="1" x14ac:dyDescent="0.3">
      <c r="A32" s="34" t="s">
        <v>483</v>
      </c>
      <c r="B32" s="34" t="s">
        <v>438</v>
      </c>
      <c r="C32" s="34" t="s">
        <v>482</v>
      </c>
      <c r="D32" s="36" t="s">
        <v>165</v>
      </c>
      <c r="E32" s="37">
        <v>1180</v>
      </c>
      <c r="F32" s="34" t="s">
        <v>81</v>
      </c>
      <c r="G32" s="37">
        <v>2000</v>
      </c>
      <c r="H32" s="34" t="s">
        <v>573</v>
      </c>
      <c r="I32" s="37">
        <v>0</v>
      </c>
      <c r="J32" s="34" t="s">
        <v>81</v>
      </c>
      <c r="K32" s="37">
        <v>0</v>
      </c>
      <c r="L32" s="34" t="s">
        <v>81</v>
      </c>
      <c r="M32" s="37">
        <v>0</v>
      </c>
      <c r="N32" s="34" t="s">
        <v>81</v>
      </c>
      <c r="O32" s="37">
        <f t="shared" si="1"/>
        <v>1180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4" t="s">
        <v>643</v>
      </c>
      <c r="X32" s="34" t="s">
        <v>81</v>
      </c>
      <c r="Y32" s="33" t="s">
        <v>81</v>
      </c>
      <c r="Z32" s="33" t="s">
        <v>81</v>
      </c>
      <c r="AA32" s="38"/>
      <c r="AB32" s="33" t="s">
        <v>81</v>
      </c>
    </row>
    <row r="33" spans="1:28" ht="30" customHeight="1" x14ac:dyDescent="0.3">
      <c r="A33" s="34" t="s">
        <v>440</v>
      </c>
      <c r="B33" s="34" t="s">
        <v>438</v>
      </c>
      <c r="C33" s="34" t="s">
        <v>439</v>
      </c>
      <c r="D33" s="36" t="s">
        <v>165</v>
      </c>
      <c r="E33" s="37">
        <v>2100</v>
      </c>
      <c r="F33" s="34" t="s">
        <v>81</v>
      </c>
      <c r="G33" s="37">
        <v>0</v>
      </c>
      <c r="H33" s="34" t="s">
        <v>81</v>
      </c>
      <c r="I33" s="37">
        <v>0</v>
      </c>
      <c r="J33" s="34" t="s">
        <v>81</v>
      </c>
      <c r="K33" s="37">
        <v>0</v>
      </c>
      <c r="L33" s="34" t="s">
        <v>81</v>
      </c>
      <c r="M33" s="37">
        <v>0</v>
      </c>
      <c r="N33" s="34" t="s">
        <v>81</v>
      </c>
      <c r="O33" s="37">
        <f t="shared" si="1"/>
        <v>2100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4" t="s">
        <v>644</v>
      </c>
      <c r="X33" s="34" t="s">
        <v>81</v>
      </c>
      <c r="Y33" s="33" t="s">
        <v>81</v>
      </c>
      <c r="Z33" s="33" t="s">
        <v>81</v>
      </c>
      <c r="AA33" s="38"/>
      <c r="AB33" s="33" t="s">
        <v>81</v>
      </c>
    </row>
    <row r="34" spans="1:28" ht="30" customHeight="1" x14ac:dyDescent="0.3">
      <c r="A34" s="34" t="s">
        <v>233</v>
      </c>
      <c r="B34" s="34" t="s">
        <v>231</v>
      </c>
      <c r="C34" s="34" t="s">
        <v>232</v>
      </c>
      <c r="D34" s="36" t="s">
        <v>165</v>
      </c>
      <c r="E34" s="37">
        <v>7100</v>
      </c>
      <c r="F34" s="34" t="s">
        <v>81</v>
      </c>
      <c r="G34" s="37">
        <v>0</v>
      </c>
      <c r="H34" s="34" t="s">
        <v>81</v>
      </c>
      <c r="I34" s="37">
        <v>0</v>
      </c>
      <c r="J34" s="34" t="s">
        <v>81</v>
      </c>
      <c r="K34" s="37">
        <v>0</v>
      </c>
      <c r="L34" s="34" t="s">
        <v>81</v>
      </c>
      <c r="M34" s="37">
        <v>0</v>
      </c>
      <c r="N34" s="34" t="s">
        <v>81</v>
      </c>
      <c r="O34" s="37">
        <f t="shared" si="1"/>
        <v>7100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4" t="s">
        <v>645</v>
      </c>
      <c r="X34" s="34" t="s">
        <v>81</v>
      </c>
      <c r="Y34" s="33" t="s">
        <v>81</v>
      </c>
      <c r="Z34" s="33" t="s">
        <v>81</v>
      </c>
      <c r="AA34" s="38"/>
      <c r="AB34" s="33" t="s">
        <v>81</v>
      </c>
    </row>
    <row r="35" spans="1:28" ht="30" customHeight="1" x14ac:dyDescent="0.3">
      <c r="A35" s="34" t="s">
        <v>255</v>
      </c>
      <c r="B35" s="34" t="s">
        <v>253</v>
      </c>
      <c r="C35" s="34" t="s">
        <v>254</v>
      </c>
      <c r="D35" s="36" t="s">
        <v>165</v>
      </c>
      <c r="E35" s="37">
        <v>0</v>
      </c>
      <c r="F35" s="34" t="s">
        <v>81</v>
      </c>
      <c r="G35" s="37">
        <v>11000</v>
      </c>
      <c r="H35" s="34" t="s">
        <v>646</v>
      </c>
      <c r="I35" s="37">
        <v>0</v>
      </c>
      <c r="J35" s="34" t="s">
        <v>81</v>
      </c>
      <c r="K35" s="37">
        <v>0</v>
      </c>
      <c r="L35" s="34" t="s">
        <v>81</v>
      </c>
      <c r="M35" s="37">
        <v>0</v>
      </c>
      <c r="N35" s="34" t="s">
        <v>81</v>
      </c>
      <c r="O35" s="37">
        <f t="shared" si="1"/>
        <v>11000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4" t="s">
        <v>647</v>
      </c>
      <c r="X35" s="34" t="s">
        <v>81</v>
      </c>
      <c r="Y35" s="33" t="s">
        <v>81</v>
      </c>
      <c r="Z35" s="33" t="s">
        <v>81</v>
      </c>
      <c r="AA35" s="38"/>
      <c r="AB35" s="33" t="s">
        <v>81</v>
      </c>
    </row>
    <row r="36" spans="1:28" ht="30" customHeight="1" x14ac:dyDescent="0.3">
      <c r="A36" s="34" t="s">
        <v>518</v>
      </c>
      <c r="B36" s="34" t="s">
        <v>516</v>
      </c>
      <c r="C36" s="34" t="s">
        <v>517</v>
      </c>
      <c r="D36" s="36" t="s">
        <v>165</v>
      </c>
      <c r="E36" s="37">
        <v>0</v>
      </c>
      <c r="F36" s="34" t="s">
        <v>81</v>
      </c>
      <c r="G36" s="37">
        <v>1044.44</v>
      </c>
      <c r="H36" s="34" t="s">
        <v>648</v>
      </c>
      <c r="I36" s="37">
        <v>752</v>
      </c>
      <c r="J36" s="34" t="s">
        <v>649</v>
      </c>
      <c r="K36" s="37">
        <v>0</v>
      </c>
      <c r="L36" s="34" t="s">
        <v>81</v>
      </c>
      <c r="M36" s="37">
        <v>0</v>
      </c>
      <c r="N36" s="34" t="s">
        <v>81</v>
      </c>
      <c r="O36" s="37">
        <f t="shared" si="1"/>
        <v>752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4" t="s">
        <v>650</v>
      </c>
      <c r="X36" s="34" t="s">
        <v>81</v>
      </c>
      <c r="Y36" s="33" t="s">
        <v>81</v>
      </c>
      <c r="Z36" s="33" t="s">
        <v>81</v>
      </c>
      <c r="AA36" s="38"/>
      <c r="AB36" s="33" t="s">
        <v>81</v>
      </c>
    </row>
    <row r="37" spans="1:28" ht="30" customHeight="1" x14ac:dyDescent="0.3">
      <c r="A37" s="34" t="s">
        <v>166</v>
      </c>
      <c r="B37" s="34" t="s">
        <v>163</v>
      </c>
      <c r="C37" s="34" t="s">
        <v>164</v>
      </c>
      <c r="D37" s="36" t="s">
        <v>165</v>
      </c>
      <c r="E37" s="37">
        <v>0</v>
      </c>
      <c r="F37" s="34" t="s">
        <v>81</v>
      </c>
      <c r="G37" s="37">
        <v>1020</v>
      </c>
      <c r="H37" s="34" t="s">
        <v>651</v>
      </c>
      <c r="I37" s="37">
        <v>1020</v>
      </c>
      <c r="J37" s="34" t="s">
        <v>652</v>
      </c>
      <c r="K37" s="37">
        <v>0</v>
      </c>
      <c r="L37" s="34" t="s">
        <v>81</v>
      </c>
      <c r="M37" s="37">
        <v>0</v>
      </c>
      <c r="N37" s="34" t="s">
        <v>81</v>
      </c>
      <c r="O37" s="37">
        <f t="shared" si="1"/>
        <v>1020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4" t="s">
        <v>653</v>
      </c>
      <c r="X37" s="34" t="s">
        <v>81</v>
      </c>
      <c r="Y37" s="33" t="s">
        <v>81</v>
      </c>
      <c r="Z37" s="33" t="s">
        <v>81</v>
      </c>
      <c r="AA37" s="38"/>
      <c r="AB37" s="33" t="s">
        <v>81</v>
      </c>
    </row>
    <row r="38" spans="1:28" ht="30" customHeight="1" x14ac:dyDescent="0.3">
      <c r="A38" s="34" t="s">
        <v>511</v>
      </c>
      <c r="B38" s="34" t="s">
        <v>509</v>
      </c>
      <c r="C38" s="34" t="s">
        <v>510</v>
      </c>
      <c r="D38" s="36" t="s">
        <v>132</v>
      </c>
      <c r="E38" s="37">
        <v>0</v>
      </c>
      <c r="F38" s="34" t="s">
        <v>81</v>
      </c>
      <c r="G38" s="37">
        <v>0</v>
      </c>
      <c r="H38" s="34" t="s">
        <v>81</v>
      </c>
      <c r="I38" s="37">
        <v>0</v>
      </c>
      <c r="J38" s="34" t="s">
        <v>81</v>
      </c>
      <c r="K38" s="37">
        <v>0</v>
      </c>
      <c r="L38" s="34" t="s">
        <v>81</v>
      </c>
      <c r="M38" s="37">
        <v>73</v>
      </c>
      <c r="N38" s="34" t="s">
        <v>81</v>
      </c>
      <c r="O38" s="37">
        <f t="shared" si="1"/>
        <v>73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4" t="s">
        <v>654</v>
      </c>
      <c r="X38" s="34" t="s">
        <v>81</v>
      </c>
      <c r="Y38" s="33" t="s">
        <v>81</v>
      </c>
      <c r="Z38" s="33" t="s">
        <v>81</v>
      </c>
      <c r="AA38" s="38"/>
      <c r="AB38" s="33" t="s">
        <v>81</v>
      </c>
    </row>
    <row r="39" spans="1:28" ht="30" customHeight="1" x14ac:dyDescent="0.3">
      <c r="A39" s="34" t="s">
        <v>514</v>
      </c>
      <c r="B39" s="34" t="s">
        <v>513</v>
      </c>
      <c r="C39" s="34" t="s">
        <v>81</v>
      </c>
      <c r="D39" s="36" t="s">
        <v>165</v>
      </c>
      <c r="E39" s="37">
        <v>0</v>
      </c>
      <c r="F39" s="34" t="s">
        <v>81</v>
      </c>
      <c r="G39" s="37">
        <v>0</v>
      </c>
      <c r="H39" s="34" t="s">
        <v>81</v>
      </c>
      <c r="I39" s="37">
        <v>0</v>
      </c>
      <c r="J39" s="34" t="s">
        <v>81</v>
      </c>
      <c r="K39" s="37">
        <v>0</v>
      </c>
      <c r="L39" s="34" t="s">
        <v>81</v>
      </c>
      <c r="M39" s="37">
        <v>1150</v>
      </c>
      <c r="N39" s="34" t="s">
        <v>81</v>
      </c>
      <c r="O39" s="37">
        <f t="shared" si="1"/>
        <v>1150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4" t="s">
        <v>655</v>
      </c>
      <c r="X39" s="34" t="s">
        <v>81</v>
      </c>
      <c r="Y39" s="33" t="s">
        <v>81</v>
      </c>
      <c r="Z39" s="33" t="s">
        <v>81</v>
      </c>
      <c r="AA39" s="38"/>
      <c r="AB39" s="33" t="s">
        <v>81</v>
      </c>
    </row>
    <row r="40" spans="1:28" ht="30" customHeight="1" x14ac:dyDescent="0.3">
      <c r="A40" s="34" t="s">
        <v>319</v>
      </c>
      <c r="B40" s="34" t="s">
        <v>317</v>
      </c>
      <c r="C40" s="34" t="s">
        <v>318</v>
      </c>
      <c r="D40" s="36" t="s">
        <v>16</v>
      </c>
      <c r="E40" s="37">
        <v>0</v>
      </c>
      <c r="F40" s="34" t="s">
        <v>81</v>
      </c>
      <c r="G40" s="37">
        <v>0</v>
      </c>
      <c r="H40" s="34" t="s">
        <v>81</v>
      </c>
      <c r="I40" s="37">
        <v>0</v>
      </c>
      <c r="J40" s="34" t="s">
        <v>81</v>
      </c>
      <c r="K40" s="37">
        <v>84000</v>
      </c>
      <c r="L40" s="34" t="s">
        <v>656</v>
      </c>
      <c r="M40" s="37">
        <v>0</v>
      </c>
      <c r="N40" s="34" t="s">
        <v>81</v>
      </c>
      <c r="O40" s="37">
        <f t="shared" si="1"/>
        <v>84000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4" t="s">
        <v>657</v>
      </c>
      <c r="X40" s="34" t="s">
        <v>81</v>
      </c>
      <c r="Y40" s="33" t="s">
        <v>81</v>
      </c>
      <c r="Z40" s="33" t="s">
        <v>81</v>
      </c>
      <c r="AA40" s="38"/>
      <c r="AB40" s="33" t="s">
        <v>81</v>
      </c>
    </row>
    <row r="41" spans="1:28" ht="30" customHeight="1" x14ac:dyDescent="0.3">
      <c r="A41" s="34" t="s">
        <v>658</v>
      </c>
      <c r="B41" s="34" t="s">
        <v>659</v>
      </c>
      <c r="C41" s="34" t="s">
        <v>660</v>
      </c>
      <c r="D41" s="36" t="s">
        <v>133</v>
      </c>
      <c r="E41" s="37">
        <v>0</v>
      </c>
      <c r="F41" s="34" t="s">
        <v>81</v>
      </c>
      <c r="G41" s="37">
        <v>0</v>
      </c>
      <c r="H41" s="34" t="s">
        <v>81</v>
      </c>
      <c r="I41" s="37">
        <v>0</v>
      </c>
      <c r="J41" s="34" t="s">
        <v>81</v>
      </c>
      <c r="K41" s="37">
        <v>1500000</v>
      </c>
      <c r="L41" s="34" t="s">
        <v>661</v>
      </c>
      <c r="M41" s="37">
        <v>0</v>
      </c>
      <c r="N41" s="34" t="s">
        <v>81</v>
      </c>
      <c r="O41" s="37">
        <f t="shared" si="1"/>
        <v>1500000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4" t="s">
        <v>662</v>
      </c>
      <c r="X41" s="34" t="s">
        <v>81</v>
      </c>
      <c r="Y41" s="33" t="s">
        <v>81</v>
      </c>
      <c r="Z41" s="33" t="s">
        <v>81</v>
      </c>
      <c r="AA41" s="38"/>
      <c r="AB41" s="33" t="s">
        <v>81</v>
      </c>
    </row>
    <row r="42" spans="1:28" ht="30" customHeight="1" x14ac:dyDescent="0.3">
      <c r="A42" s="34" t="s">
        <v>663</v>
      </c>
      <c r="B42" s="34" t="s">
        <v>664</v>
      </c>
      <c r="C42" s="34" t="s">
        <v>665</v>
      </c>
      <c r="D42" s="36" t="s">
        <v>133</v>
      </c>
      <c r="E42" s="37">
        <v>0</v>
      </c>
      <c r="F42" s="34" t="s">
        <v>81</v>
      </c>
      <c r="G42" s="37">
        <v>0</v>
      </c>
      <c r="H42" s="34" t="s">
        <v>81</v>
      </c>
      <c r="I42" s="37">
        <v>0</v>
      </c>
      <c r="J42" s="34" t="s">
        <v>81</v>
      </c>
      <c r="K42" s="37">
        <v>2321000</v>
      </c>
      <c r="L42" s="34" t="s">
        <v>666</v>
      </c>
      <c r="M42" s="37">
        <v>0</v>
      </c>
      <c r="N42" s="34" t="s">
        <v>81</v>
      </c>
      <c r="O42" s="37">
        <f t="shared" si="1"/>
        <v>2321000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4" t="s">
        <v>667</v>
      </c>
      <c r="X42" s="34" t="s">
        <v>81</v>
      </c>
      <c r="Y42" s="33" t="s">
        <v>81</v>
      </c>
      <c r="Z42" s="33" t="s">
        <v>81</v>
      </c>
      <c r="AA42" s="38"/>
      <c r="AB42" s="33" t="s">
        <v>81</v>
      </c>
    </row>
    <row r="43" spans="1:28" ht="30" customHeight="1" x14ac:dyDescent="0.3">
      <c r="A43" s="34" t="s">
        <v>668</v>
      </c>
      <c r="B43" s="34" t="s">
        <v>669</v>
      </c>
      <c r="C43" s="34" t="s">
        <v>670</v>
      </c>
      <c r="D43" s="36" t="s">
        <v>133</v>
      </c>
      <c r="E43" s="37">
        <v>0</v>
      </c>
      <c r="F43" s="34" t="s">
        <v>81</v>
      </c>
      <c r="G43" s="37">
        <v>0</v>
      </c>
      <c r="H43" s="34" t="s">
        <v>81</v>
      </c>
      <c r="I43" s="37">
        <v>0</v>
      </c>
      <c r="J43" s="34" t="s">
        <v>81</v>
      </c>
      <c r="K43" s="37">
        <v>7650000</v>
      </c>
      <c r="L43" s="34" t="s">
        <v>671</v>
      </c>
      <c r="M43" s="37">
        <v>0</v>
      </c>
      <c r="N43" s="34" t="s">
        <v>81</v>
      </c>
      <c r="O43" s="37">
        <f t="shared" si="1"/>
        <v>7650000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4" t="s">
        <v>672</v>
      </c>
      <c r="X43" s="34" t="s">
        <v>81</v>
      </c>
      <c r="Y43" s="33" t="s">
        <v>81</v>
      </c>
      <c r="Z43" s="33" t="s">
        <v>81</v>
      </c>
      <c r="AA43" s="38"/>
      <c r="AB43" s="33" t="s">
        <v>81</v>
      </c>
    </row>
    <row r="44" spans="1:28" ht="30" customHeight="1" x14ac:dyDescent="0.3">
      <c r="A44" s="34" t="s">
        <v>673</v>
      </c>
      <c r="B44" s="34" t="s">
        <v>674</v>
      </c>
      <c r="C44" s="34" t="s">
        <v>675</v>
      </c>
      <c r="D44" s="36" t="s">
        <v>133</v>
      </c>
      <c r="E44" s="37">
        <v>0</v>
      </c>
      <c r="F44" s="34" t="s">
        <v>81</v>
      </c>
      <c r="G44" s="37">
        <v>0</v>
      </c>
      <c r="H44" s="34" t="s">
        <v>81</v>
      </c>
      <c r="I44" s="37">
        <v>0</v>
      </c>
      <c r="J44" s="34" t="s">
        <v>81</v>
      </c>
      <c r="K44" s="37">
        <v>5696400</v>
      </c>
      <c r="L44" s="34" t="s">
        <v>676</v>
      </c>
      <c r="M44" s="37">
        <v>0</v>
      </c>
      <c r="N44" s="34" t="s">
        <v>81</v>
      </c>
      <c r="O44" s="37">
        <f t="shared" si="1"/>
        <v>5696400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4" t="s">
        <v>677</v>
      </c>
      <c r="X44" s="34" t="s">
        <v>81</v>
      </c>
      <c r="Y44" s="33" t="s">
        <v>81</v>
      </c>
      <c r="Z44" s="33" t="s">
        <v>81</v>
      </c>
      <c r="AA44" s="38"/>
      <c r="AB44" s="33" t="s">
        <v>81</v>
      </c>
    </row>
    <row r="45" spans="1:28" ht="30" customHeight="1" x14ac:dyDescent="0.3">
      <c r="A45" s="34" t="s">
        <v>530</v>
      </c>
      <c r="B45" s="34" t="s">
        <v>424</v>
      </c>
      <c r="C45" s="34" t="s">
        <v>529</v>
      </c>
      <c r="D45" s="36" t="s">
        <v>373</v>
      </c>
      <c r="E45" s="37">
        <v>0</v>
      </c>
      <c r="F45" s="34" t="s">
        <v>81</v>
      </c>
      <c r="G45" s="37">
        <v>5583.33</v>
      </c>
      <c r="H45" s="34" t="s">
        <v>678</v>
      </c>
      <c r="I45" s="37">
        <v>0</v>
      </c>
      <c r="J45" s="34" t="s">
        <v>81</v>
      </c>
      <c r="K45" s="37">
        <v>0</v>
      </c>
      <c r="L45" s="34" t="s">
        <v>81</v>
      </c>
      <c r="M45" s="37">
        <v>0</v>
      </c>
      <c r="N45" s="34" t="s">
        <v>81</v>
      </c>
      <c r="O45" s="37">
        <f t="shared" si="1"/>
        <v>5583.33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4" t="s">
        <v>679</v>
      </c>
      <c r="X45" s="34" t="s">
        <v>81</v>
      </c>
      <c r="Y45" s="33" t="s">
        <v>81</v>
      </c>
      <c r="Z45" s="33" t="s">
        <v>81</v>
      </c>
      <c r="AA45" s="38"/>
      <c r="AB45" s="33" t="s">
        <v>81</v>
      </c>
    </row>
    <row r="46" spans="1:28" ht="30" customHeight="1" x14ac:dyDescent="0.3">
      <c r="A46" s="34" t="s">
        <v>426</v>
      </c>
      <c r="B46" s="34" t="s">
        <v>424</v>
      </c>
      <c r="C46" s="34" t="s">
        <v>425</v>
      </c>
      <c r="D46" s="36" t="s">
        <v>373</v>
      </c>
      <c r="E46" s="37">
        <v>2470</v>
      </c>
      <c r="F46" s="34" t="s">
        <v>81</v>
      </c>
      <c r="G46" s="37">
        <v>4450</v>
      </c>
      <c r="H46" s="34" t="s">
        <v>680</v>
      </c>
      <c r="I46" s="37">
        <v>0</v>
      </c>
      <c r="J46" s="34" t="s">
        <v>81</v>
      </c>
      <c r="K46" s="37">
        <v>0</v>
      </c>
      <c r="L46" s="34" t="s">
        <v>81</v>
      </c>
      <c r="M46" s="37">
        <v>0</v>
      </c>
      <c r="N46" s="34" t="s">
        <v>81</v>
      </c>
      <c r="O46" s="37">
        <f t="shared" si="1"/>
        <v>2470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4" t="s">
        <v>681</v>
      </c>
      <c r="X46" s="34" t="s">
        <v>81</v>
      </c>
      <c r="Y46" s="33" t="s">
        <v>81</v>
      </c>
      <c r="Z46" s="33" t="s">
        <v>81</v>
      </c>
      <c r="AA46" s="38"/>
      <c r="AB46" s="33" t="s">
        <v>81</v>
      </c>
    </row>
    <row r="47" spans="1:28" ht="30" customHeight="1" x14ac:dyDescent="0.3">
      <c r="A47" s="34" t="s">
        <v>374</v>
      </c>
      <c r="B47" s="34" t="s">
        <v>371</v>
      </c>
      <c r="C47" s="34" t="s">
        <v>372</v>
      </c>
      <c r="D47" s="36" t="s">
        <v>373</v>
      </c>
      <c r="E47" s="37">
        <v>9433</v>
      </c>
      <c r="F47" s="34" t="s">
        <v>81</v>
      </c>
      <c r="G47" s="37">
        <v>11665.5</v>
      </c>
      <c r="H47" s="34" t="s">
        <v>682</v>
      </c>
      <c r="I47" s="37">
        <v>0</v>
      </c>
      <c r="J47" s="34" t="s">
        <v>81</v>
      </c>
      <c r="K47" s="37">
        <v>0</v>
      </c>
      <c r="L47" s="34" t="s">
        <v>81</v>
      </c>
      <c r="M47" s="37">
        <v>0</v>
      </c>
      <c r="N47" s="34" t="s">
        <v>81</v>
      </c>
      <c r="O47" s="37">
        <f t="shared" si="1"/>
        <v>9433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4" t="s">
        <v>683</v>
      </c>
      <c r="X47" s="34" t="s">
        <v>81</v>
      </c>
      <c r="Y47" s="33" t="s">
        <v>81</v>
      </c>
      <c r="Z47" s="33" t="s">
        <v>81</v>
      </c>
      <c r="AA47" s="38"/>
      <c r="AB47" s="33" t="s">
        <v>81</v>
      </c>
    </row>
    <row r="48" spans="1:28" ht="30" customHeight="1" x14ac:dyDescent="0.3">
      <c r="A48" s="34" t="s">
        <v>684</v>
      </c>
      <c r="B48" s="34" t="s">
        <v>685</v>
      </c>
      <c r="C48" s="34" t="s">
        <v>686</v>
      </c>
      <c r="D48" s="36" t="s">
        <v>687</v>
      </c>
      <c r="E48" s="37">
        <v>0</v>
      </c>
      <c r="F48" s="34" t="s">
        <v>81</v>
      </c>
      <c r="G48" s="37">
        <v>0</v>
      </c>
      <c r="H48" s="34" t="s">
        <v>81</v>
      </c>
      <c r="I48" s="37">
        <v>0</v>
      </c>
      <c r="J48" s="34" t="s">
        <v>81</v>
      </c>
      <c r="K48" s="37">
        <v>0</v>
      </c>
      <c r="L48" s="34" t="s">
        <v>81</v>
      </c>
      <c r="M48" s="37">
        <v>0</v>
      </c>
      <c r="N48" s="34" t="s">
        <v>81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41951</v>
      </c>
      <c r="V48" s="37">
        <f>SMALL(Q48:U48,COUNTIF(Q48:U48,0)+1)</f>
        <v>41951</v>
      </c>
      <c r="W48" s="34" t="s">
        <v>688</v>
      </c>
      <c r="X48" s="34" t="s">
        <v>81</v>
      </c>
      <c r="Y48" s="33" t="s">
        <v>689</v>
      </c>
      <c r="Z48" s="33" t="s">
        <v>81</v>
      </c>
      <c r="AA48" s="38"/>
      <c r="AB48" s="33" t="s">
        <v>81</v>
      </c>
    </row>
    <row r="49" spans="1:28" ht="30" customHeight="1" x14ac:dyDescent="0.3">
      <c r="A49" s="34" t="s">
        <v>690</v>
      </c>
      <c r="B49" s="34" t="s">
        <v>691</v>
      </c>
      <c r="C49" s="34" t="s">
        <v>692</v>
      </c>
      <c r="D49" s="36" t="s">
        <v>687</v>
      </c>
      <c r="E49" s="37">
        <v>0</v>
      </c>
      <c r="F49" s="34" t="s">
        <v>81</v>
      </c>
      <c r="G49" s="37">
        <v>0</v>
      </c>
      <c r="H49" s="34" t="s">
        <v>81</v>
      </c>
      <c r="I49" s="37">
        <v>0</v>
      </c>
      <c r="J49" s="34" t="s">
        <v>81</v>
      </c>
      <c r="K49" s="37">
        <v>0</v>
      </c>
      <c r="L49" s="34" t="s">
        <v>81</v>
      </c>
      <c r="M49" s="37">
        <v>0</v>
      </c>
      <c r="N49" s="34" t="s">
        <v>81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60322</v>
      </c>
      <c r="V49" s="37">
        <f>SMALL(Q49:U49,COUNTIF(Q49:U49,0)+1)</f>
        <v>60322</v>
      </c>
      <c r="W49" s="34" t="s">
        <v>693</v>
      </c>
      <c r="X49" s="34" t="s">
        <v>81</v>
      </c>
      <c r="Y49" s="33" t="s">
        <v>689</v>
      </c>
      <c r="Z49" s="33" t="s">
        <v>81</v>
      </c>
      <c r="AA49" s="38"/>
      <c r="AB49" s="33" t="s">
        <v>81</v>
      </c>
    </row>
    <row r="50" spans="1:28" ht="30" customHeight="1" x14ac:dyDescent="0.3">
      <c r="A50" s="34" t="s">
        <v>694</v>
      </c>
      <c r="B50" s="34" t="s">
        <v>695</v>
      </c>
      <c r="C50" s="34" t="s">
        <v>696</v>
      </c>
      <c r="D50" s="36" t="s">
        <v>687</v>
      </c>
      <c r="E50" s="37">
        <v>0</v>
      </c>
      <c r="F50" s="34" t="s">
        <v>81</v>
      </c>
      <c r="G50" s="37">
        <v>0</v>
      </c>
      <c r="H50" s="34" t="s">
        <v>81</v>
      </c>
      <c r="I50" s="37">
        <v>0</v>
      </c>
      <c r="J50" s="34" t="s">
        <v>81</v>
      </c>
      <c r="K50" s="37">
        <v>0</v>
      </c>
      <c r="L50" s="34" t="s">
        <v>81</v>
      </c>
      <c r="M50" s="37">
        <v>0</v>
      </c>
      <c r="N50" s="34" t="s">
        <v>81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15226</v>
      </c>
      <c r="V50" s="37">
        <f>SMALL(Q50:U50,COUNTIF(Q50:U50,0)+1)</f>
        <v>15226</v>
      </c>
      <c r="W50" s="34" t="s">
        <v>697</v>
      </c>
      <c r="X50" s="34" t="s">
        <v>81</v>
      </c>
      <c r="Y50" s="33" t="s">
        <v>689</v>
      </c>
      <c r="Z50" s="33" t="s">
        <v>81</v>
      </c>
      <c r="AA50" s="38"/>
      <c r="AB50" s="33" t="s">
        <v>81</v>
      </c>
    </row>
    <row r="51" spans="1:28" ht="30" customHeight="1" x14ac:dyDescent="0.3">
      <c r="A51" s="34" t="s">
        <v>344</v>
      </c>
      <c r="B51" s="34" t="s">
        <v>341</v>
      </c>
      <c r="C51" s="34" t="s">
        <v>342</v>
      </c>
      <c r="D51" s="36" t="s">
        <v>343</v>
      </c>
      <c r="E51" s="37">
        <v>42121</v>
      </c>
      <c r="F51" s="34" t="s">
        <v>81</v>
      </c>
      <c r="G51" s="37">
        <v>0</v>
      </c>
      <c r="H51" s="34" t="s">
        <v>81</v>
      </c>
      <c r="I51" s="37">
        <v>0</v>
      </c>
      <c r="J51" s="34" t="s">
        <v>81</v>
      </c>
      <c r="K51" s="37">
        <v>0</v>
      </c>
      <c r="L51" s="34" t="s">
        <v>81</v>
      </c>
      <c r="M51" s="37">
        <v>0</v>
      </c>
      <c r="N51" s="34" t="s">
        <v>81</v>
      </c>
      <c r="O51" s="37">
        <f>SMALL(E51:M51,COUNTIF(E51:M51,0)+1)</f>
        <v>42121</v>
      </c>
      <c r="P51" s="37">
        <v>19979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4" t="s">
        <v>698</v>
      </c>
      <c r="X51" s="34" t="s">
        <v>81</v>
      </c>
      <c r="Y51" s="33" t="s">
        <v>21</v>
      </c>
      <c r="Z51" s="33" t="s">
        <v>81</v>
      </c>
      <c r="AA51" s="38"/>
      <c r="AB51" s="33" t="s">
        <v>81</v>
      </c>
    </row>
    <row r="52" spans="1:28" ht="30" customHeight="1" x14ac:dyDescent="0.3">
      <c r="A52" s="34" t="s">
        <v>264</v>
      </c>
      <c r="B52" s="34" t="s">
        <v>261</v>
      </c>
      <c r="C52" s="34" t="s">
        <v>262</v>
      </c>
      <c r="D52" s="36" t="s">
        <v>263</v>
      </c>
      <c r="E52" s="37">
        <v>2252</v>
      </c>
      <c r="F52" s="34" t="s">
        <v>81</v>
      </c>
      <c r="G52" s="37">
        <v>0</v>
      </c>
      <c r="H52" s="34" t="s">
        <v>81</v>
      </c>
      <c r="I52" s="37">
        <v>0</v>
      </c>
      <c r="J52" s="34" t="s">
        <v>81</v>
      </c>
      <c r="K52" s="37">
        <v>0</v>
      </c>
      <c r="L52" s="34" t="s">
        <v>81</v>
      </c>
      <c r="M52" s="37">
        <v>0</v>
      </c>
      <c r="N52" s="34" t="s">
        <v>81</v>
      </c>
      <c r="O52" s="37">
        <f>SMALL(E52:M52,COUNTIF(E52:M52,0)+1)</f>
        <v>2252</v>
      </c>
      <c r="P52" s="37">
        <v>5148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4" t="s">
        <v>699</v>
      </c>
      <c r="X52" s="34" t="s">
        <v>81</v>
      </c>
      <c r="Y52" s="33" t="s">
        <v>21</v>
      </c>
      <c r="Z52" s="33" t="s">
        <v>81</v>
      </c>
      <c r="AA52" s="38"/>
      <c r="AB52" s="33" t="s">
        <v>81</v>
      </c>
    </row>
    <row r="53" spans="1:28" ht="30" customHeight="1" x14ac:dyDescent="0.3">
      <c r="A53" s="34" t="s">
        <v>171</v>
      </c>
      <c r="B53" s="34" t="s">
        <v>4</v>
      </c>
      <c r="C53" s="34" t="s">
        <v>168</v>
      </c>
      <c r="D53" s="36" t="s">
        <v>3</v>
      </c>
      <c r="E53" s="37">
        <v>0</v>
      </c>
      <c r="F53" s="34" t="s">
        <v>81</v>
      </c>
      <c r="G53" s="37">
        <v>0</v>
      </c>
      <c r="H53" s="34" t="s">
        <v>81</v>
      </c>
      <c r="I53" s="37">
        <v>0</v>
      </c>
      <c r="J53" s="34" t="s">
        <v>81</v>
      </c>
      <c r="K53" s="37">
        <v>0</v>
      </c>
      <c r="L53" s="34" t="s">
        <v>81</v>
      </c>
      <c r="M53" s="37">
        <v>0</v>
      </c>
      <c r="N53" s="34" t="s">
        <v>81</v>
      </c>
      <c r="O53" s="37">
        <v>0</v>
      </c>
      <c r="P53" s="37">
        <v>138989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4" t="s">
        <v>700</v>
      </c>
      <c r="X53" s="34" t="s">
        <v>81</v>
      </c>
      <c r="Y53" s="33" t="s">
        <v>701</v>
      </c>
      <c r="Z53" s="33" t="s">
        <v>81</v>
      </c>
      <c r="AA53" s="38"/>
      <c r="AB53" s="33" t="s">
        <v>81</v>
      </c>
    </row>
    <row r="54" spans="1:28" ht="30" customHeight="1" x14ac:dyDescent="0.3">
      <c r="A54" s="34" t="s">
        <v>169</v>
      </c>
      <c r="B54" s="34" t="s">
        <v>167</v>
      </c>
      <c r="C54" s="34" t="s">
        <v>168</v>
      </c>
      <c r="D54" s="36" t="s">
        <v>3</v>
      </c>
      <c r="E54" s="37">
        <v>0</v>
      </c>
      <c r="F54" s="34" t="s">
        <v>81</v>
      </c>
      <c r="G54" s="37">
        <v>0</v>
      </c>
      <c r="H54" s="34" t="s">
        <v>81</v>
      </c>
      <c r="I54" s="37">
        <v>0</v>
      </c>
      <c r="J54" s="34" t="s">
        <v>81</v>
      </c>
      <c r="K54" s="37">
        <v>0</v>
      </c>
      <c r="L54" s="34" t="s">
        <v>81</v>
      </c>
      <c r="M54" s="37">
        <v>0</v>
      </c>
      <c r="N54" s="34" t="s">
        <v>81</v>
      </c>
      <c r="O54" s="37">
        <v>0</v>
      </c>
      <c r="P54" s="37">
        <v>194315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4" t="s">
        <v>702</v>
      </c>
      <c r="X54" s="34" t="s">
        <v>81</v>
      </c>
      <c r="Y54" s="33" t="s">
        <v>701</v>
      </c>
      <c r="Z54" s="33" t="s">
        <v>81</v>
      </c>
      <c r="AA54" s="38"/>
      <c r="AB54" s="33" t="s">
        <v>81</v>
      </c>
    </row>
    <row r="55" spans="1:28" ht="30" customHeight="1" x14ac:dyDescent="0.3">
      <c r="A55" s="34" t="s">
        <v>402</v>
      </c>
      <c r="B55" s="34" t="s">
        <v>39</v>
      </c>
      <c r="C55" s="34" t="s">
        <v>168</v>
      </c>
      <c r="D55" s="36" t="s">
        <v>3</v>
      </c>
      <c r="E55" s="37">
        <v>0</v>
      </c>
      <c r="F55" s="34" t="s">
        <v>81</v>
      </c>
      <c r="G55" s="37">
        <v>0</v>
      </c>
      <c r="H55" s="34" t="s">
        <v>81</v>
      </c>
      <c r="I55" s="37">
        <v>0</v>
      </c>
      <c r="J55" s="34" t="s">
        <v>81</v>
      </c>
      <c r="K55" s="37">
        <v>0</v>
      </c>
      <c r="L55" s="34" t="s">
        <v>81</v>
      </c>
      <c r="M55" s="37">
        <v>0</v>
      </c>
      <c r="N55" s="34" t="s">
        <v>81</v>
      </c>
      <c r="O55" s="37">
        <v>0</v>
      </c>
      <c r="P55" s="37">
        <v>217895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4" t="s">
        <v>703</v>
      </c>
      <c r="X55" s="34" t="s">
        <v>81</v>
      </c>
      <c r="Y55" s="33" t="s">
        <v>701</v>
      </c>
      <c r="Z55" s="33" t="s">
        <v>81</v>
      </c>
      <c r="AA55" s="38"/>
      <c r="AB55" s="33" t="s">
        <v>81</v>
      </c>
    </row>
    <row r="56" spans="1:28" ht="30" customHeight="1" x14ac:dyDescent="0.3">
      <c r="A56" s="34" t="s">
        <v>359</v>
      </c>
      <c r="B56" s="34" t="s">
        <v>40</v>
      </c>
      <c r="C56" s="34" t="s">
        <v>168</v>
      </c>
      <c r="D56" s="36" t="s">
        <v>3</v>
      </c>
      <c r="E56" s="37">
        <v>0</v>
      </c>
      <c r="F56" s="34" t="s">
        <v>81</v>
      </c>
      <c r="G56" s="37">
        <v>0</v>
      </c>
      <c r="H56" s="34" t="s">
        <v>81</v>
      </c>
      <c r="I56" s="37">
        <v>0</v>
      </c>
      <c r="J56" s="34" t="s">
        <v>81</v>
      </c>
      <c r="K56" s="37">
        <v>0</v>
      </c>
      <c r="L56" s="34" t="s">
        <v>81</v>
      </c>
      <c r="M56" s="37">
        <v>0</v>
      </c>
      <c r="N56" s="34" t="s">
        <v>81</v>
      </c>
      <c r="O56" s="37">
        <v>0</v>
      </c>
      <c r="P56" s="37">
        <v>205617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4" t="s">
        <v>704</v>
      </c>
      <c r="X56" s="34" t="s">
        <v>81</v>
      </c>
      <c r="Y56" s="33" t="s">
        <v>701</v>
      </c>
      <c r="Z56" s="33" t="s">
        <v>81</v>
      </c>
      <c r="AA56" s="38"/>
      <c r="AB56" s="33" t="s">
        <v>81</v>
      </c>
    </row>
    <row r="57" spans="1:28" ht="30" customHeight="1" x14ac:dyDescent="0.3">
      <c r="A57" s="34" t="s">
        <v>245</v>
      </c>
      <c r="B57" s="34" t="s">
        <v>43</v>
      </c>
      <c r="C57" s="34" t="s">
        <v>168</v>
      </c>
      <c r="D57" s="36" t="s">
        <v>3</v>
      </c>
      <c r="E57" s="37">
        <v>0</v>
      </c>
      <c r="F57" s="34" t="s">
        <v>81</v>
      </c>
      <c r="G57" s="37">
        <v>0</v>
      </c>
      <c r="H57" s="34" t="s">
        <v>81</v>
      </c>
      <c r="I57" s="37">
        <v>0</v>
      </c>
      <c r="J57" s="34" t="s">
        <v>81</v>
      </c>
      <c r="K57" s="37">
        <v>0</v>
      </c>
      <c r="L57" s="34" t="s">
        <v>81</v>
      </c>
      <c r="M57" s="37">
        <v>0</v>
      </c>
      <c r="N57" s="34" t="s">
        <v>81</v>
      </c>
      <c r="O57" s="37">
        <v>0</v>
      </c>
      <c r="P57" s="37">
        <v>165332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4" t="s">
        <v>705</v>
      </c>
      <c r="X57" s="34" t="s">
        <v>81</v>
      </c>
      <c r="Y57" s="33" t="s">
        <v>701</v>
      </c>
      <c r="Z57" s="33" t="s">
        <v>81</v>
      </c>
      <c r="AA57" s="38"/>
      <c r="AB57" s="33" t="s">
        <v>81</v>
      </c>
    </row>
    <row r="58" spans="1:28" ht="30" customHeight="1" x14ac:dyDescent="0.3">
      <c r="A58" s="34" t="s">
        <v>432</v>
      </c>
      <c r="B58" s="34" t="s">
        <v>49</v>
      </c>
      <c r="C58" s="34" t="s">
        <v>168</v>
      </c>
      <c r="D58" s="36" t="s">
        <v>3</v>
      </c>
      <c r="E58" s="37">
        <v>0</v>
      </c>
      <c r="F58" s="34" t="s">
        <v>81</v>
      </c>
      <c r="G58" s="37">
        <v>0</v>
      </c>
      <c r="H58" s="34" t="s">
        <v>81</v>
      </c>
      <c r="I58" s="37">
        <v>0</v>
      </c>
      <c r="J58" s="34" t="s">
        <v>81</v>
      </c>
      <c r="K58" s="37">
        <v>0</v>
      </c>
      <c r="L58" s="34" t="s">
        <v>81</v>
      </c>
      <c r="M58" s="37">
        <v>0</v>
      </c>
      <c r="N58" s="34" t="s">
        <v>81</v>
      </c>
      <c r="O58" s="37">
        <v>0</v>
      </c>
      <c r="P58" s="37">
        <v>200386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4" t="s">
        <v>706</v>
      </c>
      <c r="X58" s="34" t="s">
        <v>81</v>
      </c>
      <c r="Y58" s="33" t="s">
        <v>701</v>
      </c>
      <c r="Z58" s="33" t="s">
        <v>81</v>
      </c>
      <c r="AA58" s="38"/>
      <c r="AB58" s="33" t="s">
        <v>81</v>
      </c>
    </row>
    <row r="59" spans="1:28" ht="30" customHeight="1" x14ac:dyDescent="0.3">
      <c r="A59" s="34" t="s">
        <v>170</v>
      </c>
      <c r="B59" s="34" t="s">
        <v>18</v>
      </c>
      <c r="C59" s="34" t="s">
        <v>168</v>
      </c>
      <c r="D59" s="36" t="s">
        <v>3</v>
      </c>
      <c r="E59" s="37">
        <v>0</v>
      </c>
      <c r="F59" s="34" t="s">
        <v>81</v>
      </c>
      <c r="G59" s="37">
        <v>0</v>
      </c>
      <c r="H59" s="34" t="s">
        <v>81</v>
      </c>
      <c r="I59" s="37">
        <v>0</v>
      </c>
      <c r="J59" s="34" t="s">
        <v>81</v>
      </c>
      <c r="K59" s="37">
        <v>0</v>
      </c>
      <c r="L59" s="34" t="s">
        <v>81</v>
      </c>
      <c r="M59" s="37">
        <v>0</v>
      </c>
      <c r="N59" s="34" t="s">
        <v>81</v>
      </c>
      <c r="O59" s="37">
        <v>0</v>
      </c>
      <c r="P59" s="37">
        <v>206710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4" t="s">
        <v>707</v>
      </c>
      <c r="X59" s="34" t="s">
        <v>81</v>
      </c>
      <c r="Y59" s="33" t="s">
        <v>701</v>
      </c>
      <c r="Z59" s="33" t="s">
        <v>81</v>
      </c>
      <c r="AA59" s="38"/>
      <c r="AB59" s="33" t="s">
        <v>81</v>
      </c>
    </row>
    <row r="60" spans="1:28" ht="30" customHeight="1" x14ac:dyDescent="0.3">
      <c r="A60" s="34" t="s">
        <v>487</v>
      </c>
      <c r="B60" s="34" t="s">
        <v>486</v>
      </c>
      <c r="C60" s="34" t="s">
        <v>168</v>
      </c>
      <c r="D60" s="36" t="s">
        <v>3</v>
      </c>
      <c r="E60" s="37">
        <v>0</v>
      </c>
      <c r="F60" s="34" t="s">
        <v>81</v>
      </c>
      <c r="G60" s="37">
        <v>0</v>
      </c>
      <c r="H60" s="34" t="s">
        <v>81</v>
      </c>
      <c r="I60" s="37">
        <v>0</v>
      </c>
      <c r="J60" s="34" t="s">
        <v>81</v>
      </c>
      <c r="K60" s="37">
        <v>0</v>
      </c>
      <c r="L60" s="34" t="s">
        <v>81</v>
      </c>
      <c r="M60" s="37">
        <v>0</v>
      </c>
      <c r="N60" s="34" t="s">
        <v>81</v>
      </c>
      <c r="O60" s="37">
        <v>0</v>
      </c>
      <c r="P60" s="37">
        <v>179138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4" t="s">
        <v>708</v>
      </c>
      <c r="X60" s="34" t="s">
        <v>81</v>
      </c>
      <c r="Y60" s="33" t="s">
        <v>701</v>
      </c>
      <c r="Z60" s="33" t="s">
        <v>81</v>
      </c>
      <c r="AA60" s="38"/>
      <c r="AB60" s="33" t="s">
        <v>81</v>
      </c>
    </row>
    <row r="61" spans="1:28" ht="30" customHeight="1" x14ac:dyDescent="0.3">
      <c r="A61" s="34" t="s">
        <v>506</v>
      </c>
      <c r="B61" s="34" t="s">
        <v>75</v>
      </c>
      <c r="C61" s="34" t="s">
        <v>505</v>
      </c>
      <c r="D61" s="36" t="s">
        <v>3</v>
      </c>
      <c r="E61" s="37">
        <v>0</v>
      </c>
      <c r="F61" s="34" t="s">
        <v>81</v>
      </c>
      <c r="G61" s="37">
        <v>0</v>
      </c>
      <c r="H61" s="34" t="s">
        <v>81</v>
      </c>
      <c r="I61" s="37">
        <v>0</v>
      </c>
      <c r="J61" s="34" t="s">
        <v>81</v>
      </c>
      <c r="K61" s="37">
        <v>0</v>
      </c>
      <c r="L61" s="34" t="s">
        <v>81</v>
      </c>
      <c r="M61" s="37">
        <v>0</v>
      </c>
      <c r="N61" s="34" t="s">
        <v>81</v>
      </c>
      <c r="O61" s="37">
        <v>0</v>
      </c>
      <c r="P61" s="37">
        <v>181699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4" t="s">
        <v>709</v>
      </c>
      <c r="X61" s="34" t="s">
        <v>81</v>
      </c>
      <c r="Y61" s="33" t="s">
        <v>701</v>
      </c>
      <c r="Z61" s="33" t="s">
        <v>81</v>
      </c>
      <c r="AA61" s="38"/>
      <c r="AB61" s="33" t="s">
        <v>81</v>
      </c>
    </row>
  </sheetData>
  <mergeCells count="13">
    <mergeCell ref="A1:A2"/>
    <mergeCell ref="B1:B2"/>
    <mergeCell ref="C1:C2"/>
    <mergeCell ref="D1:D2"/>
    <mergeCell ref="E1:O1"/>
    <mergeCell ref="Z1:Z2"/>
    <mergeCell ref="AA1:AA2"/>
    <mergeCell ref="AB1:AB2"/>
    <mergeCell ref="P1:P2"/>
    <mergeCell ref="Q1:V1"/>
    <mergeCell ref="W1:W2"/>
    <mergeCell ref="X1:X2"/>
    <mergeCell ref="Y1:Y2"/>
  </mergeCells>
  <phoneticPr fontId="3" type="noConversion"/>
  <pageMargins left="0.78740157480314954" right="0" top="0.39370078740157477" bottom="0.39370078740157477" header="0" footer="0"/>
  <pageSetup paperSize="9" scale="48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3B6F-E288-4FB7-BAD3-C2B9503D62CC}">
  <dimension ref="A1:K26"/>
  <sheetViews>
    <sheetView view="pageBreakPreview" zoomScale="118" zoomScaleNormal="100" zoomScaleSheetLayoutView="118" workbookViewId="0">
      <selection activeCell="A17" sqref="A17:B17"/>
    </sheetView>
  </sheetViews>
  <sheetFormatPr defaultColWidth="9" defaultRowHeight="21" customHeight="1" x14ac:dyDescent="0.3"/>
  <cols>
    <col min="1" max="1" width="9" style="169"/>
    <col min="2" max="2" width="27.25" style="169" customWidth="1"/>
    <col min="3" max="3" width="15.875" style="169" customWidth="1"/>
    <col min="4" max="4" width="4.5" style="169" customWidth="1"/>
    <col min="5" max="5" width="7.75" style="169" customWidth="1"/>
    <col min="6" max="6" width="11.75" style="169" customWidth="1"/>
    <col min="7" max="7" width="14.125" style="169" customWidth="1"/>
    <col min="8" max="8" width="10.625" style="169" customWidth="1"/>
    <col min="9" max="9" width="14.75" style="169" customWidth="1"/>
    <col min="10" max="10" width="11.5" style="169" customWidth="1"/>
    <col min="11" max="11" width="18.125" style="169" customWidth="1"/>
    <col min="12" max="16384" width="9" style="169"/>
  </cols>
  <sheetData>
    <row r="1" spans="1:11" s="163" customFormat="1" ht="21" customHeight="1" x14ac:dyDescent="0.3">
      <c r="A1" s="159" t="s">
        <v>0</v>
      </c>
      <c r="B1" s="160" t="s">
        <v>128</v>
      </c>
      <c r="C1" s="160"/>
      <c r="D1" s="161"/>
      <c r="E1" s="162" t="s">
        <v>17</v>
      </c>
      <c r="F1" s="207" t="s">
        <v>17</v>
      </c>
      <c r="G1" s="208"/>
      <c r="H1" s="208"/>
      <c r="I1" s="208"/>
      <c r="J1" s="162" t="s">
        <v>17</v>
      </c>
      <c r="K1" s="161" t="s">
        <v>17</v>
      </c>
    </row>
    <row r="2" spans="1:11" s="164" customFormat="1" ht="21" customHeight="1" x14ac:dyDescent="0.3">
      <c r="A2" s="206" t="s">
        <v>7</v>
      </c>
      <c r="B2" s="206"/>
      <c r="C2" s="206" t="s">
        <v>8</v>
      </c>
      <c r="D2" s="206" t="s">
        <v>9</v>
      </c>
      <c r="E2" s="206" t="s">
        <v>1</v>
      </c>
      <c r="F2" s="206" t="s">
        <v>10</v>
      </c>
      <c r="G2" s="206"/>
      <c r="H2" s="206" t="s">
        <v>11</v>
      </c>
      <c r="I2" s="206"/>
      <c r="J2" s="206" t="s">
        <v>12</v>
      </c>
      <c r="K2" s="206"/>
    </row>
    <row r="3" spans="1:11" s="164" customFormat="1" ht="21" customHeight="1" x14ac:dyDescent="0.3">
      <c r="A3" s="206"/>
      <c r="B3" s="206"/>
      <c r="C3" s="206"/>
      <c r="D3" s="206"/>
      <c r="E3" s="206"/>
      <c r="F3" s="80" t="s">
        <v>14</v>
      </c>
      <c r="G3" s="80" t="s">
        <v>15</v>
      </c>
      <c r="H3" s="80" t="s">
        <v>14</v>
      </c>
      <c r="I3" s="80" t="s">
        <v>15</v>
      </c>
      <c r="J3" s="80" t="s">
        <v>14</v>
      </c>
      <c r="K3" s="80" t="s">
        <v>15</v>
      </c>
    </row>
    <row r="4" spans="1:11" s="164" customFormat="1" ht="21" customHeight="1" x14ac:dyDescent="0.3">
      <c r="A4" s="204" t="s">
        <v>737</v>
      </c>
      <c r="B4" s="203"/>
      <c r="C4" s="80" t="s">
        <v>17</v>
      </c>
      <c r="D4" s="80" t="s">
        <v>77</v>
      </c>
      <c r="E4" s="80">
        <v>1</v>
      </c>
      <c r="F4" s="80"/>
      <c r="G4" s="80">
        <f>안내데스크!G27</f>
        <v>461664</v>
      </c>
      <c r="H4" s="80"/>
      <c r="I4" s="80">
        <f>안내데스크!I27</f>
        <v>5022502.1024000002</v>
      </c>
      <c r="J4" s="80"/>
      <c r="K4" s="80">
        <f>I4+G4</f>
        <v>5484166.1024000002</v>
      </c>
    </row>
    <row r="5" spans="1:11" s="164" customFormat="1" ht="21" customHeight="1" x14ac:dyDescent="0.3">
      <c r="A5" s="203" t="s">
        <v>815</v>
      </c>
      <c r="B5" s="203"/>
      <c r="C5" s="165"/>
      <c r="D5" s="80" t="s">
        <v>77</v>
      </c>
      <c r="E5" s="158">
        <v>1</v>
      </c>
      <c r="F5" s="158"/>
      <c r="G5" s="158">
        <f>'교육 체험공간'!G27</f>
        <v>435162</v>
      </c>
      <c r="H5" s="158"/>
      <c r="I5" s="158">
        <f>'교육 체험공간'!I27</f>
        <v>1914383.7342400001</v>
      </c>
      <c r="J5" s="158"/>
      <c r="K5" s="80">
        <f>I5+G5</f>
        <v>2349545.7342400001</v>
      </c>
    </row>
    <row r="6" spans="1:11" s="168" customFormat="1" ht="21" customHeight="1" x14ac:dyDescent="0.3">
      <c r="A6" s="203" t="s">
        <v>816</v>
      </c>
      <c r="B6" s="203"/>
      <c r="C6" s="165"/>
      <c r="D6" s="80" t="s">
        <v>77</v>
      </c>
      <c r="E6" s="166">
        <v>1</v>
      </c>
      <c r="F6" s="167"/>
      <c r="G6" s="167">
        <f>'로비 휴게공간'!G27</f>
        <v>103650</v>
      </c>
      <c r="H6" s="167" t="s">
        <v>17</v>
      </c>
      <c r="I6" s="167">
        <f>'로비 휴게공간'!I27</f>
        <v>2255558.6</v>
      </c>
      <c r="J6" s="167"/>
      <c r="K6" s="80">
        <f t="shared" ref="K6:K18" si="0">I6+G6</f>
        <v>2359208.6</v>
      </c>
    </row>
    <row r="7" spans="1:11" s="168" customFormat="1" ht="21" customHeight="1" x14ac:dyDescent="0.3">
      <c r="A7" s="203" t="s">
        <v>818</v>
      </c>
      <c r="B7" s="203"/>
      <c r="C7" s="165"/>
      <c r="D7" s="80" t="s">
        <v>77</v>
      </c>
      <c r="E7" s="166">
        <v>1</v>
      </c>
      <c r="F7" s="167"/>
      <c r="G7" s="167">
        <f>'입구 주먹도끼 단독장'!G27</f>
        <v>1626400</v>
      </c>
      <c r="H7" s="167"/>
      <c r="I7" s="167">
        <f>'입구 주먹도끼 단독장'!I27</f>
        <v>4321160.88</v>
      </c>
      <c r="J7" s="167"/>
      <c r="K7" s="80">
        <f t="shared" si="0"/>
        <v>5947560.8799999999</v>
      </c>
    </row>
    <row r="8" spans="1:11" s="168" customFormat="1" ht="21" customHeight="1" x14ac:dyDescent="0.3">
      <c r="A8" s="203" t="s">
        <v>817</v>
      </c>
      <c r="B8" s="203"/>
      <c r="C8" s="165"/>
      <c r="D8" s="80" t="s">
        <v>77</v>
      </c>
      <c r="E8" s="166">
        <v>1</v>
      </c>
      <c r="F8" s="167"/>
      <c r="G8" s="167"/>
      <c r="H8" s="167" t="s">
        <v>17</v>
      </c>
      <c r="I8" s="167">
        <f>'뼈와 도구의 연대기'!I27</f>
        <v>962650</v>
      </c>
      <c r="J8" s="167"/>
      <c r="K8" s="80">
        <f t="shared" si="0"/>
        <v>962650</v>
      </c>
    </row>
    <row r="9" spans="1:11" s="164" customFormat="1" ht="21" customHeight="1" x14ac:dyDescent="0.3">
      <c r="A9" s="203" t="s">
        <v>819</v>
      </c>
      <c r="B9" s="203"/>
      <c r="C9" s="166"/>
      <c r="D9" s="80" t="s">
        <v>77</v>
      </c>
      <c r="E9" s="166">
        <v>1</v>
      </c>
      <c r="F9" s="166"/>
      <c r="G9" s="166">
        <f>'인류 진화의 위대한 행진'!G29</f>
        <v>2622081.6</v>
      </c>
      <c r="H9" s="166"/>
      <c r="I9" s="166">
        <f>'인류 진화의 위대한 행진'!I29</f>
        <v>29158976.806600001</v>
      </c>
      <c r="J9" s="166"/>
      <c r="K9" s="80">
        <f t="shared" si="0"/>
        <v>31781058.406600002</v>
      </c>
    </row>
    <row r="10" spans="1:11" s="164" customFormat="1" ht="21" customHeight="1" x14ac:dyDescent="0.3">
      <c r="A10" s="204" t="s">
        <v>825</v>
      </c>
      <c r="B10" s="203"/>
      <c r="C10" s="80"/>
      <c r="D10" s="80" t="s">
        <v>77</v>
      </c>
      <c r="E10" s="166">
        <v>1</v>
      </c>
      <c r="F10" s="80"/>
      <c r="G10" s="80">
        <f>'전곡리 발굴현장'!G26</f>
        <v>205350</v>
      </c>
      <c r="H10" s="80"/>
      <c r="I10" s="80">
        <f>'전곡리 발굴현장'!I26</f>
        <v>3937086.5930000003</v>
      </c>
      <c r="J10" s="80"/>
      <c r="K10" s="80">
        <f t="shared" si="0"/>
        <v>4142436.5930000003</v>
      </c>
    </row>
    <row r="11" spans="1:11" s="164" customFormat="1" ht="21" customHeight="1" x14ac:dyDescent="0.3">
      <c r="A11" s="203" t="s">
        <v>820</v>
      </c>
      <c r="B11" s="203"/>
      <c r="C11" s="165"/>
      <c r="D11" s="80" t="s">
        <v>77</v>
      </c>
      <c r="E11" s="166">
        <v>1</v>
      </c>
      <c r="F11" s="167"/>
      <c r="G11" s="167"/>
      <c r="H11" s="167"/>
      <c r="I11" s="167">
        <f>'전곡리 발굴사 및 토층'!I27</f>
        <v>7697291.7388000004</v>
      </c>
      <c r="J11" s="167"/>
      <c r="K11" s="80">
        <f t="shared" si="0"/>
        <v>7697291.7388000004</v>
      </c>
    </row>
    <row r="12" spans="1:11" ht="21" customHeight="1" x14ac:dyDescent="0.3">
      <c r="A12" s="203" t="s">
        <v>821</v>
      </c>
      <c r="B12" s="203"/>
      <c r="C12" s="165"/>
      <c r="D12" s="80" t="s">
        <v>77</v>
      </c>
      <c r="E12" s="166">
        <v>1</v>
      </c>
      <c r="F12" s="167"/>
      <c r="G12" s="167">
        <f>'전곡리 발굴사 '!G27</f>
        <v>177912</v>
      </c>
      <c r="H12" s="167"/>
      <c r="I12" s="167">
        <f>'전곡리 발굴사 '!I27</f>
        <v>3810298.6790399998</v>
      </c>
      <c r="J12" s="167"/>
      <c r="K12" s="80">
        <f t="shared" si="0"/>
        <v>3988210.6790399998</v>
      </c>
    </row>
    <row r="13" spans="1:11" ht="21" customHeight="1" x14ac:dyDescent="0.3">
      <c r="A13" s="203" t="s">
        <v>826</v>
      </c>
      <c r="B13" s="203"/>
      <c r="C13" s="165"/>
      <c r="D13" s="80" t="s">
        <v>77</v>
      </c>
      <c r="E13" s="166">
        <v>1</v>
      </c>
      <c r="F13" s="167"/>
      <c r="G13" s="167">
        <f>'토층 앞 주먹도끼장'!G26</f>
        <v>398096</v>
      </c>
      <c r="H13" s="167"/>
      <c r="I13" s="167">
        <f>'토층 앞 주먹도끼장'!I26</f>
        <v>5550993</v>
      </c>
      <c r="J13" s="167"/>
      <c r="K13" s="80">
        <f t="shared" si="0"/>
        <v>5949089</v>
      </c>
    </row>
    <row r="14" spans="1:11" ht="21" customHeight="1" x14ac:dyDescent="0.3">
      <c r="A14" s="203" t="s">
        <v>827</v>
      </c>
      <c r="B14" s="203"/>
      <c r="C14" s="166"/>
      <c r="D14" s="80" t="s">
        <v>77</v>
      </c>
      <c r="E14" s="166">
        <v>1</v>
      </c>
      <c r="F14" s="166"/>
      <c r="G14" s="166">
        <f>'한탄 임진강 유역의 구석기'!G26</f>
        <v>348970</v>
      </c>
      <c r="H14" s="166"/>
      <c r="I14" s="166">
        <f>'한탄 임진강 유역의 구석기'!I26</f>
        <v>2959104.9480000003</v>
      </c>
      <c r="J14" s="166"/>
      <c r="K14" s="80">
        <f t="shared" si="0"/>
        <v>3308074.9480000003</v>
      </c>
    </row>
    <row r="15" spans="1:11" ht="21" customHeight="1" x14ac:dyDescent="0.3">
      <c r="A15" s="204" t="s">
        <v>822</v>
      </c>
      <c r="B15" s="203"/>
      <c r="C15" s="80"/>
      <c r="D15" s="80" t="s">
        <v>77</v>
      </c>
      <c r="E15" s="80">
        <v>1</v>
      </c>
      <c r="F15" s="80"/>
      <c r="G15" s="80">
        <f>'우리나라의 구석기'!G27</f>
        <v>2663862</v>
      </c>
      <c r="H15" s="80"/>
      <c r="I15" s="80">
        <f>'우리나라의 구석기'!I27</f>
        <v>16457234.67904</v>
      </c>
      <c r="J15" s="80"/>
      <c r="K15" s="80">
        <f t="shared" si="0"/>
        <v>19121096.67904</v>
      </c>
    </row>
    <row r="16" spans="1:11" s="164" customFormat="1" ht="21" customHeight="1" x14ac:dyDescent="0.3">
      <c r="A16" s="203" t="s">
        <v>828</v>
      </c>
      <c r="B16" s="203"/>
      <c r="C16" s="165"/>
      <c r="D16" s="158" t="s">
        <v>77</v>
      </c>
      <c r="E16" s="166">
        <v>1</v>
      </c>
      <c r="F16" s="167"/>
      <c r="G16" s="167">
        <f>'바닥 매장유구'!G26</f>
        <v>2537391</v>
      </c>
      <c r="H16" s="167"/>
      <c r="I16" s="167">
        <f>'바닥 매장유구'!I26</f>
        <v>7232576</v>
      </c>
      <c r="J16" s="167"/>
      <c r="K16" s="80">
        <f t="shared" si="0"/>
        <v>9769967</v>
      </c>
    </row>
    <row r="17" spans="1:11" ht="21" customHeight="1" x14ac:dyDescent="0.3">
      <c r="A17" s="204" t="s">
        <v>823</v>
      </c>
      <c r="B17" s="203"/>
      <c r="C17" s="80"/>
      <c r="D17" s="158" t="s">
        <v>77</v>
      </c>
      <c r="E17" s="80">
        <v>1</v>
      </c>
      <c r="F17" s="80"/>
      <c r="G17" s="80">
        <f>'구석기시대의 예술'!G26</f>
        <v>123814</v>
      </c>
      <c r="H17" s="80"/>
      <c r="I17" s="80">
        <f>'구석기시대의 예술'!I26</f>
        <v>3939626.7</v>
      </c>
      <c r="J17" s="80"/>
      <c r="K17" s="80">
        <f t="shared" si="0"/>
        <v>4063440.7</v>
      </c>
    </row>
    <row r="18" spans="1:11" s="164" customFormat="1" ht="21" customHeight="1" x14ac:dyDescent="0.3">
      <c r="A18" s="203" t="s">
        <v>824</v>
      </c>
      <c r="B18" s="203"/>
      <c r="C18" s="165"/>
      <c r="D18" s="158" t="s">
        <v>77</v>
      </c>
      <c r="E18" s="166">
        <v>1</v>
      </c>
      <c r="F18" s="167"/>
      <c r="G18" s="167">
        <f>'홀로그램 전시대'!G26</f>
        <v>77100</v>
      </c>
      <c r="H18" s="167"/>
      <c r="I18" s="167">
        <f>'홀로그램 전시대'!I26</f>
        <v>315809.08499999996</v>
      </c>
      <c r="J18" s="167"/>
      <c r="K18" s="80">
        <f t="shared" si="0"/>
        <v>392909.08499999996</v>
      </c>
    </row>
    <row r="19" spans="1:11" ht="21" customHeight="1" x14ac:dyDescent="0.3">
      <c r="A19" s="204"/>
      <c r="B19" s="203"/>
      <c r="C19" s="80"/>
      <c r="D19" s="158" t="s">
        <v>77</v>
      </c>
      <c r="E19" s="80"/>
      <c r="F19" s="80"/>
      <c r="G19" s="80"/>
      <c r="H19" s="80"/>
      <c r="I19" s="80"/>
      <c r="J19" s="80"/>
      <c r="K19" s="80"/>
    </row>
    <row r="20" spans="1:11" s="164" customFormat="1" ht="21" customHeight="1" x14ac:dyDescent="0.3">
      <c r="A20" s="203"/>
      <c r="B20" s="203"/>
      <c r="C20" s="165"/>
      <c r="D20" s="158" t="s">
        <v>77</v>
      </c>
      <c r="E20" s="166"/>
      <c r="F20" s="167"/>
      <c r="G20" s="167"/>
      <c r="H20" s="167"/>
      <c r="I20" s="167"/>
      <c r="J20" s="167"/>
      <c r="K20" s="80"/>
    </row>
    <row r="21" spans="1:11" s="168" customFormat="1" ht="21" customHeight="1" x14ac:dyDescent="0.3">
      <c r="A21" s="205" t="s">
        <v>12</v>
      </c>
      <c r="B21" s="205"/>
      <c r="C21" s="185"/>
      <c r="D21" s="186"/>
      <c r="E21" s="187"/>
      <c r="F21" s="188"/>
      <c r="G21" s="188">
        <f>SUM(G4:G20)</f>
        <v>11781452.6</v>
      </c>
      <c r="H21" s="188" t="s">
        <v>17</v>
      </c>
      <c r="I21" s="188">
        <f>SUM(I4:I20)</f>
        <v>95535253.546120003</v>
      </c>
      <c r="J21" s="188" t="s">
        <v>17</v>
      </c>
      <c r="K21" s="188">
        <f>SUM(K4:K20)</f>
        <v>107316706.14612</v>
      </c>
    </row>
    <row r="22" spans="1:11" ht="21" customHeight="1" x14ac:dyDescent="0.3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5" spans="1:11" s="164" customFormat="1" ht="21" customHeight="1" x14ac:dyDescent="0.3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</row>
    <row r="26" spans="1:11" s="168" customFormat="1" ht="21" customHeight="1" x14ac:dyDescent="0.3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</sheetData>
  <mergeCells count="26">
    <mergeCell ref="J2:K2"/>
    <mergeCell ref="A5:B5"/>
    <mergeCell ref="A6:B6"/>
    <mergeCell ref="A4:B4"/>
    <mergeCell ref="F1:I1"/>
    <mergeCell ref="A2:B3"/>
    <mergeCell ref="C2:C3"/>
    <mergeCell ref="D2:D3"/>
    <mergeCell ref="E2:E3"/>
    <mergeCell ref="F2:G2"/>
    <mergeCell ref="H2:I2"/>
    <mergeCell ref="A7:B7"/>
    <mergeCell ref="A8:B8"/>
    <mergeCell ref="A15:B15"/>
    <mergeCell ref="A16:B16"/>
    <mergeCell ref="A21:B21"/>
    <mergeCell ref="A9:B9"/>
    <mergeCell ref="A10:B10"/>
    <mergeCell ref="A11:B11"/>
    <mergeCell ref="A12:B12"/>
    <mergeCell ref="A13:B13"/>
    <mergeCell ref="A14:B14"/>
    <mergeCell ref="A17:B17"/>
    <mergeCell ref="A18:B18"/>
    <mergeCell ref="A19:B19"/>
    <mergeCell ref="A20:B20"/>
  </mergeCells>
  <phoneticPr fontId="3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CAB6-DC02-4AA9-A2D7-7EFE1B3C37F4}">
  <dimension ref="A1:P27"/>
  <sheetViews>
    <sheetView view="pageBreakPreview" topLeftCell="A21" zoomScale="120" zoomScaleNormal="100" zoomScaleSheetLayoutView="120" workbookViewId="0">
      <selection activeCell="C16" sqref="C16"/>
    </sheetView>
  </sheetViews>
  <sheetFormatPr defaultColWidth="8.75" defaultRowHeight="16.5" x14ac:dyDescent="0.3"/>
  <cols>
    <col min="1" max="2" width="8.75" style="105"/>
    <col min="3" max="3" width="12.625" style="105" customWidth="1"/>
    <col min="4" max="4" width="5.25" style="105" customWidth="1"/>
    <col min="5" max="5" width="6.875" style="105" customWidth="1"/>
    <col min="6" max="6" width="10.75" style="105" customWidth="1"/>
    <col min="7" max="7" width="12" style="105" customWidth="1"/>
    <col min="8" max="8" width="10.375" style="105" customWidth="1"/>
    <col min="9" max="9" width="14.875" style="105" customWidth="1"/>
    <col min="10" max="10" width="13.375" style="105" customWidth="1"/>
    <col min="11" max="11" width="18.125" style="105" customWidth="1"/>
    <col min="12" max="16384" width="8.75" style="105"/>
  </cols>
  <sheetData>
    <row r="1" spans="1:16" s="65" customFormat="1" ht="19.5" customHeight="1" x14ac:dyDescent="0.3">
      <c r="A1" s="96" t="s">
        <v>0</v>
      </c>
      <c r="B1" s="97" t="s">
        <v>734</v>
      </c>
      <c r="C1" s="98"/>
      <c r="D1" s="99"/>
      <c r="E1" s="100" t="s">
        <v>17</v>
      </c>
      <c r="F1" s="216" t="s">
        <v>17</v>
      </c>
      <c r="G1" s="217"/>
      <c r="H1" s="217"/>
      <c r="I1" s="217"/>
      <c r="J1" s="101" t="s">
        <v>17</v>
      </c>
      <c r="K1" s="102" t="s">
        <v>17</v>
      </c>
    </row>
    <row r="2" spans="1:16" s="70" customFormat="1" ht="19.5" customHeight="1" x14ac:dyDescent="0.3">
      <c r="A2" s="218" t="s">
        <v>7</v>
      </c>
      <c r="B2" s="218"/>
      <c r="C2" s="219" t="s">
        <v>8</v>
      </c>
      <c r="D2" s="215" t="s">
        <v>9</v>
      </c>
      <c r="E2" s="220" t="s">
        <v>1</v>
      </c>
      <c r="F2" s="215" t="s">
        <v>10</v>
      </c>
      <c r="G2" s="215"/>
      <c r="H2" s="215" t="s">
        <v>11</v>
      </c>
      <c r="I2" s="215"/>
      <c r="J2" s="215" t="s">
        <v>12</v>
      </c>
      <c r="K2" s="215"/>
    </row>
    <row r="3" spans="1:16" s="70" customFormat="1" ht="19.5" customHeight="1" x14ac:dyDescent="0.3">
      <c r="A3" s="218"/>
      <c r="B3" s="218"/>
      <c r="C3" s="219"/>
      <c r="D3" s="215"/>
      <c r="E3" s="220"/>
      <c r="F3" s="71" t="s">
        <v>14</v>
      </c>
      <c r="G3" s="69" t="s">
        <v>15</v>
      </c>
      <c r="H3" s="71" t="s">
        <v>14</v>
      </c>
      <c r="I3" s="69" t="s">
        <v>15</v>
      </c>
      <c r="J3" s="71" t="s">
        <v>14</v>
      </c>
      <c r="K3" s="69" t="s">
        <v>15</v>
      </c>
    </row>
    <row r="4" spans="1:16" s="70" customFormat="1" ht="19.5" customHeight="1" x14ac:dyDescent="0.3">
      <c r="A4" s="214" t="s">
        <v>735</v>
      </c>
      <c r="B4" s="214"/>
      <c r="C4" s="89" t="s">
        <v>17</v>
      </c>
      <c r="D4" s="67" t="s">
        <v>76</v>
      </c>
      <c r="E4" s="88">
        <v>27.53</v>
      </c>
      <c r="F4" s="103"/>
      <c r="G4" s="92"/>
      <c r="H4" s="103"/>
      <c r="I4" s="104"/>
      <c r="J4" s="103"/>
      <c r="K4" s="92"/>
    </row>
    <row r="5" spans="1:16" s="79" customFormat="1" ht="19.5" customHeight="1" x14ac:dyDescent="0.3">
      <c r="A5" s="214" t="s">
        <v>715</v>
      </c>
      <c r="B5" s="214"/>
      <c r="C5" s="89" t="s">
        <v>17</v>
      </c>
      <c r="D5" s="67" t="s">
        <v>76</v>
      </c>
      <c r="E5" s="88">
        <v>28.53</v>
      </c>
      <c r="F5" s="103"/>
      <c r="G5" s="92"/>
      <c r="H5" s="103"/>
      <c r="I5" s="104"/>
      <c r="J5" s="103"/>
      <c r="K5" s="92"/>
    </row>
    <row r="6" spans="1:16" s="70" customFormat="1" ht="19.5" customHeight="1" x14ac:dyDescent="0.3">
      <c r="A6" s="214" t="s">
        <v>18</v>
      </c>
      <c r="B6" s="214"/>
      <c r="C6" s="78"/>
      <c r="D6" s="90" t="s">
        <v>3</v>
      </c>
      <c r="E6" s="88">
        <f>(0.036*E5)*2</f>
        <v>2.05416</v>
      </c>
      <c r="F6" s="103"/>
      <c r="G6" s="92"/>
      <c r="H6" s="103">
        <f>'  2025 하반기'!C24</f>
        <v>255231</v>
      </c>
      <c r="I6" s="92">
        <f>E6*H6</f>
        <v>524285.31095999997</v>
      </c>
      <c r="J6" s="103"/>
      <c r="K6" s="92">
        <f>I6+G6</f>
        <v>524285.31095999997</v>
      </c>
    </row>
    <row r="7" spans="1:16" s="70" customFormat="1" ht="19.5" customHeight="1" x14ac:dyDescent="0.3">
      <c r="A7" s="214" t="s">
        <v>4</v>
      </c>
      <c r="B7" s="214"/>
      <c r="C7" s="78"/>
      <c r="D7" s="90" t="s">
        <v>3</v>
      </c>
      <c r="E7" s="88">
        <f>(0.026*E5)*2</f>
        <v>1.48356</v>
      </c>
      <c r="F7" s="103"/>
      <c r="G7" s="92"/>
      <c r="H7" s="103">
        <f>'  2025 하반기'!C8</f>
        <v>171037</v>
      </c>
      <c r="I7" s="92">
        <f>E7*H7</f>
        <v>253743.65171999999</v>
      </c>
      <c r="J7" s="103"/>
      <c r="K7" s="92">
        <f t="shared" ref="K7:K16" si="0">I7+G7</f>
        <v>253743.65171999999</v>
      </c>
    </row>
    <row r="8" spans="1:16" s="79" customFormat="1" ht="19.5" customHeight="1" x14ac:dyDescent="0.3">
      <c r="A8" s="210" t="s">
        <v>6</v>
      </c>
      <c r="B8" s="210"/>
      <c r="C8" s="77"/>
      <c r="D8" s="84"/>
      <c r="E8" s="88"/>
      <c r="F8" s="76"/>
      <c r="G8" s="92"/>
      <c r="H8" s="76"/>
      <c r="I8" s="75">
        <f>INT(SUM(I6:I7))</f>
        <v>778028</v>
      </c>
      <c r="J8" s="76"/>
      <c r="K8" s="92">
        <f t="shared" si="0"/>
        <v>778028</v>
      </c>
    </row>
    <row r="9" spans="1:16" s="70" customFormat="1" ht="19.5" customHeight="1" x14ac:dyDescent="0.3">
      <c r="A9" s="211" t="s">
        <v>736</v>
      </c>
      <c r="B9" s="212"/>
      <c r="C9" s="66" t="s">
        <v>717</v>
      </c>
      <c r="D9" s="67" t="s">
        <v>76</v>
      </c>
      <c r="E9" s="93">
        <f>6.72*3</f>
        <v>20.16</v>
      </c>
      <c r="F9" s="71"/>
      <c r="G9" s="69"/>
      <c r="H9" s="71"/>
      <c r="I9" s="69"/>
      <c r="J9" s="71"/>
      <c r="K9" s="92">
        <f t="shared" si="0"/>
        <v>0</v>
      </c>
    </row>
    <row r="10" spans="1:16" s="79" customFormat="1" ht="19.5" customHeight="1" x14ac:dyDescent="0.3">
      <c r="A10" s="213" t="s">
        <v>550</v>
      </c>
      <c r="B10" s="214"/>
      <c r="C10" s="72" t="s">
        <v>710</v>
      </c>
      <c r="D10" s="67" t="s">
        <v>76</v>
      </c>
      <c r="E10" s="94">
        <f>E9</f>
        <v>20.16</v>
      </c>
      <c r="F10" s="74">
        <v>8300</v>
      </c>
      <c r="G10" s="75">
        <f>F10*E10</f>
        <v>167328</v>
      </c>
      <c r="H10" s="76" t="s">
        <v>17</v>
      </c>
      <c r="I10" s="77" t="s">
        <v>17</v>
      </c>
      <c r="J10" s="76"/>
      <c r="K10" s="92">
        <f>G10</f>
        <v>167328</v>
      </c>
    </row>
    <row r="11" spans="1:16" s="79" customFormat="1" ht="21" customHeight="1" x14ac:dyDescent="0.3">
      <c r="A11" s="213" t="s">
        <v>711</v>
      </c>
      <c r="B11" s="214"/>
      <c r="C11" s="72" t="s">
        <v>710</v>
      </c>
      <c r="D11" s="67" t="s">
        <v>76</v>
      </c>
      <c r="E11" s="94">
        <f>E9</f>
        <v>20.16</v>
      </c>
      <c r="F11" s="74">
        <v>8300</v>
      </c>
      <c r="G11" s="75">
        <f>F11*E11</f>
        <v>167328</v>
      </c>
      <c r="H11" s="76" t="s">
        <v>17</v>
      </c>
      <c r="I11" s="77" t="s">
        <v>17</v>
      </c>
      <c r="J11" s="76"/>
      <c r="K11" s="92">
        <f t="shared" ref="K11:K12" si="1">G11</f>
        <v>167328</v>
      </c>
    </row>
    <row r="12" spans="1:16" s="79" customFormat="1" ht="21" customHeight="1" x14ac:dyDescent="0.3">
      <c r="A12" s="211" t="s">
        <v>130</v>
      </c>
      <c r="B12" s="212"/>
      <c r="C12" s="66" t="s">
        <v>131</v>
      </c>
      <c r="D12" s="67" t="s">
        <v>76</v>
      </c>
      <c r="E12" s="93">
        <f>E9</f>
        <v>20.16</v>
      </c>
      <c r="F12" s="80">
        <v>6300</v>
      </c>
      <c r="G12" s="69">
        <f>F12*E12</f>
        <v>127008</v>
      </c>
      <c r="H12" s="71"/>
      <c r="I12" s="77" t="s">
        <v>17</v>
      </c>
      <c r="J12" s="71"/>
      <c r="K12" s="92">
        <f t="shared" si="1"/>
        <v>127008</v>
      </c>
      <c r="P12" s="81"/>
    </row>
    <row r="13" spans="1:16" s="79" customFormat="1" ht="19.5" customHeight="1" x14ac:dyDescent="0.3">
      <c r="A13" s="213" t="s">
        <v>548</v>
      </c>
      <c r="B13" s="214"/>
      <c r="C13" s="72" t="s">
        <v>17</v>
      </c>
      <c r="D13" s="82" t="s">
        <v>3</v>
      </c>
      <c r="E13" s="94">
        <f>0.34*E9</f>
        <v>6.8544000000000009</v>
      </c>
      <c r="F13" s="74" t="s">
        <v>17</v>
      </c>
      <c r="G13" s="75"/>
      <c r="H13" s="76">
        <f>'  2025 하반기'!C24</f>
        <v>255231</v>
      </c>
      <c r="I13" s="77">
        <f t="shared" ref="I13:I14" si="2">H13*E13</f>
        <v>1749455.3664000002</v>
      </c>
      <c r="J13" s="76"/>
      <c r="K13" s="92">
        <f t="shared" si="0"/>
        <v>1749455.3664000002</v>
      </c>
    </row>
    <row r="14" spans="1:16" s="70" customFormat="1" ht="19.5" customHeight="1" x14ac:dyDescent="0.3">
      <c r="A14" s="213" t="s">
        <v>549</v>
      </c>
      <c r="B14" s="214"/>
      <c r="C14" s="72" t="s">
        <v>17</v>
      </c>
      <c r="D14" s="82" t="s">
        <v>3</v>
      </c>
      <c r="E14" s="94">
        <f>0.21*E9</f>
        <v>4.2336</v>
      </c>
      <c r="F14" s="74" t="s">
        <v>17</v>
      </c>
      <c r="G14" s="75"/>
      <c r="H14" s="76">
        <f>'  2025 하반기'!C8</f>
        <v>171037</v>
      </c>
      <c r="I14" s="77">
        <f t="shared" si="2"/>
        <v>724102.24320000003</v>
      </c>
      <c r="J14" s="76"/>
      <c r="K14" s="92">
        <f t="shared" si="0"/>
        <v>724102.24320000003</v>
      </c>
    </row>
    <row r="15" spans="1:16" s="79" customFormat="1" ht="19.5" customHeight="1" x14ac:dyDescent="0.3">
      <c r="A15" s="209" t="s">
        <v>49</v>
      </c>
      <c r="B15" s="209"/>
      <c r="C15" s="77"/>
      <c r="D15" s="84" t="s">
        <v>3</v>
      </c>
      <c r="E15" s="95">
        <f>0.34*E9</f>
        <v>6.8544000000000009</v>
      </c>
      <c r="F15" s="76"/>
      <c r="G15" s="75"/>
      <c r="H15" s="76">
        <f>'  2025 하반기'!C23</f>
        <v>258362</v>
      </c>
      <c r="I15" s="77">
        <f>H15*E15</f>
        <v>1770916.4928000004</v>
      </c>
      <c r="J15" s="76"/>
      <c r="K15" s="92">
        <f t="shared" si="0"/>
        <v>1770916.4928000004</v>
      </c>
    </row>
    <row r="16" spans="1:16" s="79" customFormat="1" ht="19.5" customHeight="1" x14ac:dyDescent="0.3">
      <c r="A16" s="210" t="s">
        <v>733</v>
      </c>
      <c r="B16" s="210"/>
      <c r="C16" s="77"/>
      <c r="D16" s="84"/>
      <c r="E16" s="95"/>
      <c r="F16" s="76"/>
      <c r="G16" s="75">
        <f>SUM(G10:G15)</f>
        <v>461664</v>
      </c>
      <c r="H16" s="75" t="s">
        <v>17</v>
      </c>
      <c r="I16" s="75">
        <f t="shared" ref="I16" si="3">SUM(I10:I15)</f>
        <v>4244474.1024000002</v>
      </c>
      <c r="J16" s="75"/>
      <c r="K16" s="92">
        <f t="shared" si="0"/>
        <v>4706138.1024000002</v>
      </c>
    </row>
    <row r="17" spans="1:11" x14ac:dyDescent="0.3">
      <c r="A17" s="209"/>
      <c r="B17" s="209"/>
      <c r="C17" s="77"/>
      <c r="D17" s="84"/>
      <c r="E17" s="95"/>
      <c r="F17" s="76"/>
      <c r="G17" s="75"/>
      <c r="H17" s="75"/>
      <c r="I17" s="75"/>
      <c r="J17" s="75"/>
      <c r="K17" s="92"/>
    </row>
    <row r="18" spans="1:11" x14ac:dyDescent="0.3">
      <c r="A18" s="209"/>
      <c r="B18" s="209"/>
      <c r="C18" s="77"/>
      <c r="D18" s="84"/>
      <c r="E18" s="95"/>
      <c r="F18" s="76"/>
      <c r="G18" s="75"/>
      <c r="H18" s="75"/>
      <c r="I18" s="75"/>
      <c r="J18" s="75"/>
      <c r="K18" s="92"/>
    </row>
    <row r="19" spans="1:11" x14ac:dyDescent="0.3">
      <c r="A19" s="209"/>
      <c r="B19" s="209"/>
      <c r="C19" s="77"/>
      <c r="D19" s="84"/>
      <c r="E19" s="95"/>
      <c r="F19" s="76"/>
      <c r="G19" s="75"/>
      <c r="H19" s="75"/>
      <c r="I19" s="75"/>
      <c r="J19" s="75"/>
      <c r="K19" s="92"/>
    </row>
    <row r="20" spans="1:11" x14ac:dyDescent="0.3">
      <c r="A20" s="209"/>
      <c r="B20" s="209"/>
      <c r="C20" s="77"/>
      <c r="D20" s="84"/>
      <c r="E20" s="95"/>
      <c r="F20" s="76"/>
      <c r="G20" s="75"/>
      <c r="H20" s="75"/>
      <c r="I20" s="75"/>
      <c r="J20" s="75"/>
      <c r="K20" s="92"/>
    </row>
    <row r="21" spans="1:11" x14ac:dyDescent="0.3">
      <c r="A21" s="209"/>
      <c r="B21" s="209"/>
      <c r="C21" s="77"/>
      <c r="D21" s="84"/>
      <c r="E21" s="95"/>
      <c r="F21" s="76"/>
      <c r="G21" s="75"/>
      <c r="H21" s="75"/>
      <c r="I21" s="75"/>
      <c r="J21" s="75"/>
      <c r="K21" s="92"/>
    </row>
    <row r="22" spans="1:11" x14ac:dyDescent="0.3">
      <c r="A22" s="209"/>
      <c r="B22" s="209"/>
      <c r="C22" s="77"/>
      <c r="D22" s="84"/>
      <c r="E22" s="95"/>
      <c r="F22" s="76"/>
      <c r="G22" s="75"/>
      <c r="H22" s="75"/>
      <c r="I22" s="75"/>
      <c r="J22" s="75"/>
      <c r="K22" s="92"/>
    </row>
    <row r="23" spans="1:11" x14ac:dyDescent="0.3">
      <c r="A23" s="209"/>
      <c r="B23" s="209"/>
      <c r="C23" s="77"/>
      <c r="D23" s="84"/>
      <c r="E23" s="95"/>
      <c r="F23" s="76"/>
      <c r="G23" s="75"/>
      <c r="H23" s="75"/>
      <c r="I23" s="75"/>
      <c r="J23" s="75"/>
      <c r="K23" s="92"/>
    </row>
    <row r="24" spans="1:11" x14ac:dyDescent="0.3">
      <c r="A24" s="209"/>
      <c r="B24" s="209"/>
      <c r="C24" s="77"/>
      <c r="D24" s="84"/>
      <c r="E24" s="95"/>
      <c r="F24" s="76"/>
      <c r="G24" s="75"/>
      <c r="H24" s="75"/>
      <c r="I24" s="75"/>
      <c r="J24" s="75"/>
      <c r="K24" s="92"/>
    </row>
    <row r="25" spans="1:11" x14ac:dyDescent="0.3">
      <c r="A25" s="209"/>
      <c r="B25" s="209"/>
      <c r="C25" s="77"/>
      <c r="D25" s="84"/>
      <c r="E25" s="95"/>
      <c r="F25" s="76"/>
      <c r="G25" s="75"/>
      <c r="H25" s="75"/>
      <c r="I25" s="75"/>
      <c r="J25" s="75"/>
      <c r="K25" s="92"/>
    </row>
    <row r="26" spans="1:11" x14ac:dyDescent="0.3">
      <c r="A26" s="209"/>
      <c r="B26" s="209"/>
      <c r="C26" s="77"/>
      <c r="D26" s="84"/>
      <c r="E26" s="95"/>
      <c r="F26" s="76"/>
      <c r="G26" s="75"/>
      <c r="H26" s="75"/>
      <c r="I26" s="75"/>
      <c r="J26" s="75"/>
      <c r="K26" s="92"/>
    </row>
    <row r="27" spans="1:11" x14ac:dyDescent="0.3">
      <c r="A27" s="210" t="s">
        <v>12</v>
      </c>
      <c r="B27" s="210"/>
      <c r="C27" s="77"/>
      <c r="D27" s="84"/>
      <c r="E27" s="95"/>
      <c r="F27" s="76"/>
      <c r="G27" s="75">
        <f>G16+G8</f>
        <v>461664</v>
      </c>
      <c r="H27" s="75"/>
      <c r="I27" s="75">
        <f>I16+I8</f>
        <v>5022502.1024000002</v>
      </c>
      <c r="J27" s="75"/>
      <c r="K27" s="92">
        <f>I27+G27</f>
        <v>5484166.1024000002</v>
      </c>
    </row>
  </sheetData>
  <mergeCells count="32">
    <mergeCell ref="F1:I1"/>
    <mergeCell ref="A2:B3"/>
    <mergeCell ref="C2:C3"/>
    <mergeCell ref="D2:D3"/>
    <mergeCell ref="E2:E3"/>
    <mergeCell ref="F2:G2"/>
    <mergeCell ref="H2:I2"/>
    <mergeCell ref="J2:K2"/>
    <mergeCell ref="A5:B5"/>
    <mergeCell ref="A6:B6"/>
    <mergeCell ref="A7:B7"/>
    <mergeCell ref="A8:B8"/>
    <mergeCell ref="A4:B4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F6EC-19B5-4EF2-B2B4-13404023BA33}">
  <dimension ref="A1:P27"/>
  <sheetViews>
    <sheetView view="pageBreakPreview" zoomScale="120" zoomScaleNormal="100" zoomScaleSheetLayoutView="120" workbookViewId="0">
      <selection activeCell="B1" sqref="B1"/>
    </sheetView>
  </sheetViews>
  <sheetFormatPr defaultColWidth="8.75" defaultRowHeight="16.5" x14ac:dyDescent="0.3"/>
  <cols>
    <col min="1" max="2" width="8.75" style="105"/>
    <col min="3" max="3" width="12.625" style="105" customWidth="1"/>
    <col min="4" max="4" width="5.25" style="105" customWidth="1"/>
    <col min="5" max="5" width="6.875" style="105" customWidth="1"/>
    <col min="6" max="6" width="10.75" style="105" customWidth="1"/>
    <col min="7" max="7" width="12" style="105" customWidth="1"/>
    <col min="8" max="8" width="10.375" style="105" customWidth="1"/>
    <col min="9" max="9" width="14.875" style="105" customWidth="1"/>
    <col min="10" max="10" width="13.375" style="105" customWidth="1"/>
    <col min="11" max="11" width="18.125" style="105" customWidth="1"/>
    <col min="12" max="16384" width="8.75" style="105"/>
  </cols>
  <sheetData>
    <row r="1" spans="1:16" s="65" customFormat="1" ht="19.5" customHeight="1" x14ac:dyDescent="0.3">
      <c r="A1" s="96" t="s">
        <v>0</v>
      </c>
      <c r="B1" s="97" t="s">
        <v>739</v>
      </c>
      <c r="C1" s="98"/>
      <c r="D1" s="99"/>
      <c r="E1" s="100" t="s">
        <v>17</v>
      </c>
      <c r="F1" s="216" t="s">
        <v>17</v>
      </c>
      <c r="G1" s="217"/>
      <c r="H1" s="217"/>
      <c r="I1" s="217"/>
      <c r="J1" s="101" t="s">
        <v>17</v>
      </c>
      <c r="K1" s="102" t="s">
        <v>17</v>
      </c>
    </row>
    <row r="2" spans="1:16" s="70" customFormat="1" ht="19.5" customHeight="1" x14ac:dyDescent="0.3">
      <c r="A2" s="218" t="s">
        <v>7</v>
      </c>
      <c r="B2" s="218"/>
      <c r="C2" s="219" t="s">
        <v>8</v>
      </c>
      <c r="D2" s="215" t="s">
        <v>9</v>
      </c>
      <c r="E2" s="220" t="s">
        <v>1</v>
      </c>
      <c r="F2" s="215" t="s">
        <v>10</v>
      </c>
      <c r="G2" s="215"/>
      <c r="H2" s="215" t="s">
        <v>11</v>
      </c>
      <c r="I2" s="215"/>
      <c r="J2" s="215" t="s">
        <v>12</v>
      </c>
      <c r="K2" s="215"/>
    </row>
    <row r="3" spans="1:16" s="70" customFormat="1" ht="19.5" customHeight="1" x14ac:dyDescent="0.3">
      <c r="A3" s="218"/>
      <c r="B3" s="218"/>
      <c r="C3" s="219"/>
      <c r="D3" s="215"/>
      <c r="E3" s="220"/>
      <c r="F3" s="71" t="s">
        <v>14</v>
      </c>
      <c r="G3" s="69" t="s">
        <v>15</v>
      </c>
      <c r="H3" s="71" t="s">
        <v>14</v>
      </c>
      <c r="I3" s="69" t="s">
        <v>15</v>
      </c>
      <c r="J3" s="71" t="s">
        <v>14</v>
      </c>
      <c r="K3" s="69" t="s">
        <v>15</v>
      </c>
    </row>
    <row r="4" spans="1:16" s="70" customFormat="1" ht="19.5" customHeight="1" x14ac:dyDescent="0.3">
      <c r="A4" s="221" t="s">
        <v>738</v>
      </c>
      <c r="B4" s="229"/>
      <c r="C4" s="230"/>
      <c r="D4" s="67" t="s">
        <v>76</v>
      </c>
      <c r="E4" s="68">
        <v>14.64</v>
      </c>
      <c r="F4" s="80"/>
      <c r="G4" s="69"/>
      <c r="H4" s="71"/>
      <c r="I4" s="69"/>
      <c r="J4" s="71"/>
      <c r="K4" s="69"/>
    </row>
    <row r="5" spans="1:16" s="79" customFormat="1" ht="19.5" customHeight="1" x14ac:dyDescent="0.3">
      <c r="A5" s="213" t="s">
        <v>550</v>
      </c>
      <c r="B5" s="214"/>
      <c r="C5" s="72" t="s">
        <v>710</v>
      </c>
      <c r="D5" s="67" t="s">
        <v>76</v>
      </c>
      <c r="E5" s="73">
        <v>16.100000000000001</v>
      </c>
      <c r="F5" s="91">
        <v>8300</v>
      </c>
      <c r="G5" s="75">
        <f>F5*E5</f>
        <v>133630</v>
      </c>
      <c r="H5" s="76">
        <v>13907</v>
      </c>
      <c r="I5" s="77">
        <f>H5*E5</f>
        <v>223902.7</v>
      </c>
      <c r="J5" s="76"/>
      <c r="K5" s="77">
        <f>I5+G5</f>
        <v>357532.7</v>
      </c>
    </row>
    <row r="6" spans="1:16" s="70" customFormat="1" ht="19.5" customHeight="1" x14ac:dyDescent="0.3">
      <c r="A6" s="211" t="s">
        <v>130</v>
      </c>
      <c r="B6" s="212"/>
      <c r="C6" s="66" t="s">
        <v>131</v>
      </c>
      <c r="D6" s="67" t="s">
        <v>76</v>
      </c>
      <c r="E6" s="68">
        <f>E4</f>
        <v>14.64</v>
      </c>
      <c r="F6" s="80">
        <v>6300</v>
      </c>
      <c r="G6" s="69">
        <f>F6*E6</f>
        <v>92232</v>
      </c>
      <c r="H6" s="71"/>
      <c r="I6" s="69"/>
      <c r="J6" s="71"/>
      <c r="K6" s="77">
        <f t="shared" ref="K6:K8" si="0">I6+G6</f>
        <v>92232</v>
      </c>
    </row>
    <row r="7" spans="1:16" s="70" customFormat="1" ht="19.5" customHeight="1" x14ac:dyDescent="0.3">
      <c r="A7" s="211" t="s">
        <v>754</v>
      </c>
      <c r="B7" s="212"/>
      <c r="C7" s="66" t="s">
        <v>755</v>
      </c>
      <c r="D7" s="67" t="s">
        <v>76</v>
      </c>
      <c r="E7" s="68">
        <f>E5</f>
        <v>16.100000000000001</v>
      </c>
      <c r="F7" s="80">
        <v>13000</v>
      </c>
      <c r="G7" s="69">
        <f>F7*E7</f>
        <v>209300.00000000003</v>
      </c>
      <c r="H7" s="71"/>
      <c r="I7" s="69"/>
      <c r="J7" s="71"/>
      <c r="K7" s="77">
        <f t="shared" ref="K7" si="1">I7+G7</f>
        <v>209300.00000000003</v>
      </c>
    </row>
    <row r="8" spans="1:16" s="70" customFormat="1" ht="19.5" customHeight="1" x14ac:dyDescent="0.3">
      <c r="A8" s="213" t="s">
        <v>548</v>
      </c>
      <c r="B8" s="214"/>
      <c r="C8" s="72" t="s">
        <v>17</v>
      </c>
      <c r="D8" s="82" t="s">
        <v>3</v>
      </c>
      <c r="E8" s="83">
        <f>(0.092*E4)*2</f>
        <v>2.6937600000000002</v>
      </c>
      <c r="F8" s="91" t="s">
        <v>17</v>
      </c>
      <c r="G8" s="75"/>
      <c r="H8" s="76">
        <f>'  2025 하반기'!C24</f>
        <v>255231</v>
      </c>
      <c r="I8" s="77">
        <f t="shared" ref="I8:I9" si="2">H8*E8</f>
        <v>687531.05856000003</v>
      </c>
      <c r="J8" s="76"/>
      <c r="K8" s="77">
        <f t="shared" si="0"/>
        <v>687531.05856000003</v>
      </c>
    </row>
    <row r="9" spans="1:16" s="79" customFormat="1" ht="19.5" customHeight="1" x14ac:dyDescent="0.3">
      <c r="A9" s="213" t="s">
        <v>549</v>
      </c>
      <c r="B9" s="214"/>
      <c r="C9" s="72" t="s">
        <v>17</v>
      </c>
      <c r="D9" s="82" t="s">
        <v>3</v>
      </c>
      <c r="E9" s="83">
        <f>(0.09*E4)*2</f>
        <v>2.6352000000000002</v>
      </c>
      <c r="F9" s="74" t="s">
        <v>17</v>
      </c>
      <c r="G9" s="75"/>
      <c r="H9" s="76">
        <f>'  2025 하반기'!C8</f>
        <v>171037</v>
      </c>
      <c r="I9" s="77">
        <f t="shared" si="2"/>
        <v>450716.70240000001</v>
      </c>
      <c r="J9" s="76"/>
      <c r="K9" s="77">
        <f>I9+G9</f>
        <v>450716.70240000001</v>
      </c>
    </row>
    <row r="10" spans="1:16" s="70" customFormat="1" ht="19.5" customHeight="1" x14ac:dyDescent="0.3">
      <c r="A10" s="214" t="s">
        <v>129</v>
      </c>
      <c r="B10" s="214"/>
      <c r="C10" s="77"/>
      <c r="D10" s="84" t="s">
        <v>3</v>
      </c>
      <c r="E10" s="143">
        <f>(0.073*E6)*2</f>
        <v>2.1374399999999998</v>
      </c>
      <c r="F10" s="76"/>
      <c r="G10" s="85" t="s">
        <v>17</v>
      </c>
      <c r="H10" s="76">
        <f>'  2025 하반기'!C23</f>
        <v>258362</v>
      </c>
      <c r="I10" s="75">
        <f>H10*E10</f>
        <v>552233.27327999996</v>
      </c>
      <c r="J10" s="76"/>
      <c r="K10" s="77">
        <f>I10</f>
        <v>552233.27327999996</v>
      </c>
    </row>
    <row r="11" spans="1:16" s="79" customFormat="1" ht="19.5" customHeight="1" x14ac:dyDescent="0.3">
      <c r="A11" s="211"/>
      <c r="B11" s="212"/>
      <c r="C11" s="66"/>
      <c r="D11" s="67"/>
      <c r="E11" s="68"/>
      <c r="F11" s="74"/>
      <c r="G11" s="75"/>
      <c r="H11" s="71"/>
      <c r="I11" s="69"/>
      <c r="J11" s="71"/>
      <c r="K11" s="77"/>
    </row>
    <row r="12" spans="1:16" s="79" customFormat="1" ht="21" customHeight="1" x14ac:dyDescent="0.3">
      <c r="A12" s="214"/>
      <c r="B12" s="214"/>
      <c r="C12" s="77"/>
      <c r="D12" s="84"/>
      <c r="E12" s="87"/>
      <c r="F12" s="76"/>
      <c r="G12" s="85"/>
      <c r="H12" s="76"/>
      <c r="I12" s="75"/>
      <c r="J12" s="76"/>
      <c r="K12" s="77"/>
    </row>
    <row r="13" spans="1:16" s="79" customFormat="1" ht="21" customHeight="1" x14ac:dyDescent="0.3">
      <c r="A13" s="210" t="s">
        <v>6</v>
      </c>
      <c r="B13" s="210"/>
      <c r="C13" s="77"/>
      <c r="D13" s="86"/>
      <c r="E13" s="87"/>
      <c r="F13" s="76"/>
      <c r="G13" s="77">
        <f>SUM(G5:G12)</f>
        <v>435162</v>
      </c>
      <c r="H13" s="77" t="s">
        <v>17</v>
      </c>
      <c r="I13" s="77">
        <f>SUM(I5:I12)</f>
        <v>1914383.7342400001</v>
      </c>
      <c r="J13" s="77"/>
      <c r="K13" s="77">
        <f>I13+G13</f>
        <v>2349545.7342400001</v>
      </c>
      <c r="P13" s="81"/>
    </row>
    <row r="14" spans="1:16" s="79" customFormat="1" ht="19.5" customHeight="1" x14ac:dyDescent="0.3">
      <c r="A14" s="227"/>
      <c r="B14" s="228"/>
      <c r="C14" s="89"/>
      <c r="D14" s="67"/>
      <c r="E14" s="88"/>
      <c r="F14" s="103"/>
      <c r="G14" s="92"/>
      <c r="H14" s="103"/>
      <c r="I14" s="104"/>
      <c r="J14" s="103"/>
      <c r="K14" s="92"/>
    </row>
    <row r="15" spans="1:16" s="70" customFormat="1" ht="19.5" customHeight="1" x14ac:dyDescent="0.3">
      <c r="A15" s="227"/>
      <c r="B15" s="228"/>
      <c r="C15" s="89"/>
      <c r="D15" s="67"/>
      <c r="E15" s="88"/>
      <c r="F15" s="103"/>
      <c r="G15" s="92"/>
      <c r="H15" s="103"/>
      <c r="I15" s="104"/>
      <c r="J15" s="103"/>
      <c r="K15" s="92"/>
    </row>
    <row r="16" spans="1:16" s="79" customFormat="1" ht="19.5" customHeight="1" x14ac:dyDescent="0.3">
      <c r="A16" s="227"/>
      <c r="B16" s="228"/>
      <c r="C16" s="78"/>
      <c r="D16" s="90"/>
      <c r="E16" s="88"/>
      <c r="F16" s="103"/>
      <c r="G16" s="92"/>
      <c r="H16" s="103"/>
      <c r="I16" s="92"/>
      <c r="J16" s="103"/>
      <c r="K16" s="92"/>
    </row>
    <row r="17" spans="1:11" s="79" customFormat="1" ht="19.5" customHeight="1" x14ac:dyDescent="0.3">
      <c r="A17" s="227"/>
      <c r="B17" s="228"/>
      <c r="C17" s="78"/>
      <c r="D17" s="90"/>
      <c r="E17" s="88"/>
      <c r="F17" s="103"/>
      <c r="G17" s="92"/>
      <c r="H17" s="103"/>
      <c r="I17" s="92"/>
      <c r="J17" s="103"/>
      <c r="K17" s="92"/>
    </row>
    <row r="18" spans="1:11" x14ac:dyDescent="0.3">
      <c r="A18" s="225"/>
      <c r="B18" s="226"/>
      <c r="C18" s="77"/>
      <c r="D18" s="84"/>
      <c r="E18" s="88"/>
      <c r="F18" s="76"/>
      <c r="G18" s="92"/>
      <c r="H18" s="76"/>
      <c r="I18" s="75"/>
      <c r="J18" s="76"/>
      <c r="K18" s="92"/>
    </row>
    <row r="19" spans="1:11" x14ac:dyDescent="0.3">
      <c r="A19" s="221"/>
      <c r="B19" s="222"/>
      <c r="C19" s="66"/>
      <c r="D19" s="67"/>
      <c r="E19" s="93"/>
      <c r="F19" s="71"/>
      <c r="G19" s="69"/>
      <c r="H19" s="71"/>
      <c r="I19" s="69"/>
      <c r="J19" s="71"/>
      <c r="K19" s="92"/>
    </row>
    <row r="20" spans="1:11" x14ac:dyDescent="0.3">
      <c r="A20" s="223"/>
      <c r="B20" s="224"/>
      <c r="C20" s="72"/>
      <c r="D20" s="67"/>
      <c r="E20" s="94"/>
      <c r="F20" s="74"/>
      <c r="G20" s="75"/>
      <c r="H20" s="76"/>
      <c r="I20" s="77"/>
      <c r="J20" s="76"/>
      <c r="K20" s="92"/>
    </row>
    <row r="21" spans="1:11" x14ac:dyDescent="0.3">
      <c r="A21" s="223"/>
      <c r="B21" s="224"/>
      <c r="C21" s="72"/>
      <c r="D21" s="67"/>
      <c r="E21" s="94"/>
      <c r="F21" s="74"/>
      <c r="G21" s="75"/>
      <c r="H21" s="76"/>
      <c r="I21" s="77"/>
      <c r="J21" s="76"/>
      <c r="K21" s="92"/>
    </row>
    <row r="22" spans="1:11" x14ac:dyDescent="0.3">
      <c r="A22" s="211"/>
      <c r="B22" s="212"/>
      <c r="C22" s="66"/>
      <c r="D22" s="67"/>
      <c r="E22" s="93"/>
      <c r="F22" s="80"/>
      <c r="G22" s="69"/>
      <c r="H22" s="71"/>
      <c r="I22" s="77"/>
      <c r="J22" s="71"/>
      <c r="K22" s="92"/>
    </row>
    <row r="23" spans="1:11" x14ac:dyDescent="0.3">
      <c r="A23" s="213"/>
      <c r="B23" s="214"/>
      <c r="C23" s="72"/>
      <c r="D23" s="82"/>
      <c r="E23" s="94"/>
      <c r="F23" s="74"/>
      <c r="G23" s="75"/>
      <c r="H23" s="76"/>
      <c r="I23" s="77"/>
      <c r="J23" s="76"/>
      <c r="K23" s="92"/>
    </row>
    <row r="24" spans="1:11" x14ac:dyDescent="0.3">
      <c r="A24" s="213"/>
      <c r="B24" s="214"/>
      <c r="C24" s="72"/>
      <c r="D24" s="82"/>
      <c r="E24" s="94"/>
      <c r="F24" s="74"/>
      <c r="G24" s="75"/>
      <c r="H24" s="76"/>
      <c r="I24" s="77"/>
      <c r="J24" s="76"/>
      <c r="K24" s="92"/>
    </row>
    <row r="25" spans="1:11" x14ac:dyDescent="0.3">
      <c r="A25" s="210"/>
      <c r="B25" s="210"/>
      <c r="C25" s="77"/>
      <c r="D25" s="84"/>
      <c r="E25" s="95"/>
      <c r="F25" s="76"/>
      <c r="G25" s="75"/>
      <c r="H25" s="75"/>
      <c r="I25" s="75"/>
      <c r="J25" s="75"/>
      <c r="K25" s="92"/>
    </row>
    <row r="26" spans="1:11" x14ac:dyDescent="0.3">
      <c r="A26" s="209"/>
      <c r="B26" s="209"/>
      <c r="C26" s="77"/>
      <c r="D26" s="84"/>
      <c r="E26" s="95"/>
      <c r="F26" s="76"/>
      <c r="G26" s="75"/>
      <c r="H26" s="75"/>
      <c r="I26" s="75"/>
      <c r="J26" s="75"/>
      <c r="K26" s="92"/>
    </row>
    <row r="27" spans="1:11" x14ac:dyDescent="0.3">
      <c r="A27" s="210" t="s">
        <v>12</v>
      </c>
      <c r="B27" s="210"/>
      <c r="C27" s="77"/>
      <c r="D27" s="84"/>
      <c r="E27" s="95"/>
      <c r="F27" s="76"/>
      <c r="G27" s="75">
        <f>G13</f>
        <v>435162</v>
      </c>
      <c r="H27" s="75" t="str">
        <f t="shared" ref="H27:K27" si="3">H13</f>
        <v xml:space="preserve"> </v>
      </c>
      <c r="I27" s="75">
        <f t="shared" si="3"/>
        <v>1914383.7342400001</v>
      </c>
      <c r="J27" s="75"/>
      <c r="K27" s="75">
        <f t="shared" si="3"/>
        <v>2349545.7342400001</v>
      </c>
    </row>
  </sheetData>
  <mergeCells count="32">
    <mergeCell ref="A22:B22"/>
    <mergeCell ref="A23:B23"/>
    <mergeCell ref="A24:B24"/>
    <mergeCell ref="J2:K2"/>
    <mergeCell ref="F1:I1"/>
    <mergeCell ref="A2:B3"/>
    <mergeCell ref="C2:C3"/>
    <mergeCell ref="D2:D3"/>
    <mergeCell ref="E2:E3"/>
    <mergeCell ref="F2:G2"/>
    <mergeCell ref="H2:I2"/>
    <mergeCell ref="A4:C4"/>
    <mergeCell ref="A7:B7"/>
    <mergeCell ref="A16:B16"/>
    <mergeCell ref="A15:B15"/>
    <mergeCell ref="A14:B14"/>
    <mergeCell ref="A27:B27"/>
    <mergeCell ref="A5:B5"/>
    <mergeCell ref="A6:B6"/>
    <mergeCell ref="A8:B8"/>
    <mergeCell ref="A9:B9"/>
    <mergeCell ref="A10:B10"/>
    <mergeCell ref="A11:B11"/>
    <mergeCell ref="A12:B12"/>
    <mergeCell ref="A13:B13"/>
    <mergeCell ref="A25:B25"/>
    <mergeCell ref="A26:B26"/>
    <mergeCell ref="A19:B19"/>
    <mergeCell ref="A20:B20"/>
    <mergeCell ref="A21:B21"/>
    <mergeCell ref="A18:B18"/>
    <mergeCell ref="A17:B17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6754-BD05-472E-ACC7-AB286A79FAF1}">
  <dimension ref="A1:P27"/>
  <sheetViews>
    <sheetView view="pageBreakPreview" zoomScale="120" zoomScaleNormal="100" zoomScaleSheetLayoutView="120" workbookViewId="0">
      <selection activeCell="H46" sqref="H46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740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3" customFormat="1" ht="19.5" customHeight="1" x14ac:dyDescent="0.3">
      <c r="A4" s="240" t="s">
        <v>741</v>
      </c>
      <c r="B4" s="241"/>
      <c r="C4" s="242"/>
      <c r="D4" s="118" t="s">
        <v>76</v>
      </c>
      <c r="E4" s="119">
        <v>22.85</v>
      </c>
      <c r="F4" s="120"/>
      <c r="G4" s="121"/>
      <c r="H4" s="120"/>
      <c r="I4" s="121"/>
      <c r="J4" s="120"/>
      <c r="K4" s="121"/>
    </row>
    <row r="5" spans="1:16" s="13" customFormat="1" ht="19.5" customHeight="1" x14ac:dyDescent="0.3">
      <c r="A5" s="235" t="s">
        <v>18</v>
      </c>
      <c r="B5" s="235"/>
      <c r="C5" s="123"/>
      <c r="D5" s="124" t="s">
        <v>3</v>
      </c>
      <c r="E5" s="119">
        <f>(0.036*E4)*2</f>
        <v>1.6452</v>
      </c>
      <c r="F5" s="120"/>
      <c r="G5" s="121"/>
      <c r="H5" s="120">
        <f>'  2025 하반기'!C24</f>
        <v>255231</v>
      </c>
      <c r="I5" s="121">
        <f>E5*H5</f>
        <v>419906.04119999998</v>
      </c>
      <c r="J5" s="120"/>
      <c r="K5" s="121">
        <f>I5</f>
        <v>419906.04119999998</v>
      </c>
    </row>
    <row r="6" spans="1:16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1.1881999999999999</v>
      </c>
      <c r="F6" s="120"/>
      <c r="G6" s="121"/>
      <c r="H6" s="120">
        <f>'  2025 하반기'!C8</f>
        <v>171037</v>
      </c>
      <c r="I6" s="121">
        <f>E6*H6</f>
        <v>203226.16339999999</v>
      </c>
      <c r="J6" s="120"/>
      <c r="K6" s="121">
        <f>I6</f>
        <v>203226.16339999999</v>
      </c>
    </row>
    <row r="7" spans="1:16" s="114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623132</v>
      </c>
      <c r="J7" s="127"/>
      <c r="K7" s="128">
        <f>I7+G7</f>
        <v>623132</v>
      </c>
    </row>
    <row r="8" spans="1:16" s="70" customFormat="1" ht="19.5" customHeight="1" x14ac:dyDescent="0.3">
      <c r="A8" s="211" t="s">
        <v>729</v>
      </c>
      <c r="B8" s="212"/>
      <c r="C8" s="66" t="s">
        <v>767</v>
      </c>
      <c r="D8" s="67" t="s">
        <v>76</v>
      </c>
      <c r="E8" s="93">
        <v>1.5</v>
      </c>
      <c r="F8" s="71"/>
      <c r="G8" s="69"/>
      <c r="H8" s="71"/>
      <c r="I8" s="69"/>
      <c r="J8" s="71"/>
      <c r="K8" s="69"/>
    </row>
    <row r="9" spans="1:16" s="79" customFormat="1" ht="21" customHeight="1" x14ac:dyDescent="0.3">
      <c r="A9" s="213" t="s">
        <v>711</v>
      </c>
      <c r="B9" s="214"/>
      <c r="C9" s="72" t="s">
        <v>710</v>
      </c>
      <c r="D9" s="67" t="s">
        <v>76</v>
      </c>
      <c r="E9" s="94">
        <f>E8*2</f>
        <v>3</v>
      </c>
      <c r="F9" s="74">
        <v>8300</v>
      </c>
      <c r="G9" s="75">
        <f>F9*E9</f>
        <v>24900</v>
      </c>
      <c r="H9" s="76" t="s">
        <v>17</v>
      </c>
      <c r="I9" s="77" t="s">
        <v>17</v>
      </c>
      <c r="J9" s="76"/>
      <c r="K9" s="77">
        <f>G9</f>
        <v>24900</v>
      </c>
    </row>
    <row r="10" spans="1:16" s="79" customFormat="1" ht="21" customHeight="1" x14ac:dyDescent="0.3">
      <c r="A10" s="211" t="s">
        <v>130</v>
      </c>
      <c r="B10" s="212"/>
      <c r="C10" s="66" t="s">
        <v>131</v>
      </c>
      <c r="D10" s="67" t="s">
        <v>76</v>
      </c>
      <c r="E10" s="93">
        <f>E8*2</f>
        <v>3</v>
      </c>
      <c r="F10" s="80">
        <v>6300</v>
      </c>
      <c r="G10" s="69">
        <f>F10*E10</f>
        <v>18900</v>
      </c>
      <c r="H10" s="71"/>
      <c r="I10" s="69"/>
      <c r="J10" s="71"/>
      <c r="K10" s="77">
        <f t="shared" ref="K10:K11" si="0">G10</f>
        <v>18900</v>
      </c>
      <c r="P10" s="81"/>
    </row>
    <row r="11" spans="1:16" s="79" customFormat="1" ht="21" customHeight="1" x14ac:dyDescent="0.3">
      <c r="A11" s="211" t="s">
        <v>730</v>
      </c>
      <c r="B11" s="212"/>
      <c r="C11" s="66" t="s">
        <v>731</v>
      </c>
      <c r="D11" s="67" t="s">
        <v>76</v>
      </c>
      <c r="E11" s="93">
        <v>3.15</v>
      </c>
      <c r="F11" s="80">
        <v>19000</v>
      </c>
      <c r="G11" s="69">
        <f>F11*E11</f>
        <v>59850</v>
      </c>
      <c r="H11" s="71"/>
      <c r="I11" s="69"/>
      <c r="J11" s="71"/>
      <c r="K11" s="77">
        <f t="shared" si="0"/>
        <v>59850</v>
      </c>
      <c r="P11" s="81"/>
    </row>
    <row r="12" spans="1:16" s="79" customFormat="1" ht="19.5" customHeight="1" x14ac:dyDescent="0.3">
      <c r="A12" s="213" t="s">
        <v>548</v>
      </c>
      <c r="B12" s="214"/>
      <c r="C12" s="72" t="s">
        <v>17</v>
      </c>
      <c r="D12" s="82" t="s">
        <v>3</v>
      </c>
      <c r="E12" s="94">
        <v>2.2000000000000002</v>
      </c>
      <c r="F12" s="74" t="s">
        <v>17</v>
      </c>
      <c r="G12" s="75"/>
      <c r="H12" s="76">
        <f>'  2025 하반기'!C24</f>
        <v>255231</v>
      </c>
      <c r="I12" s="77">
        <f t="shared" ref="I12:I13" si="1">H12*E12</f>
        <v>561508.20000000007</v>
      </c>
      <c r="J12" s="76"/>
      <c r="K12" s="77">
        <f>I12</f>
        <v>561508.20000000007</v>
      </c>
    </row>
    <row r="13" spans="1:16" s="70" customFormat="1" ht="19.5" customHeight="1" x14ac:dyDescent="0.3">
      <c r="A13" s="213" t="s">
        <v>549</v>
      </c>
      <c r="B13" s="214"/>
      <c r="C13" s="72" t="s">
        <v>17</v>
      </c>
      <c r="D13" s="82" t="s">
        <v>3</v>
      </c>
      <c r="E13" s="94">
        <v>1.2</v>
      </c>
      <c r="F13" s="74" t="s">
        <v>17</v>
      </c>
      <c r="G13" s="75"/>
      <c r="H13" s="76">
        <f>'  2025 하반기'!C8</f>
        <v>171037</v>
      </c>
      <c r="I13" s="77">
        <f t="shared" si="1"/>
        <v>205244.4</v>
      </c>
      <c r="J13" s="76"/>
      <c r="K13" s="77">
        <f t="shared" ref="K13:K15" si="2">I13</f>
        <v>205244.4</v>
      </c>
    </row>
    <row r="14" spans="1:16" s="79" customFormat="1" ht="19.5" customHeight="1" x14ac:dyDescent="0.3">
      <c r="A14" s="209" t="s">
        <v>49</v>
      </c>
      <c r="B14" s="209"/>
      <c r="C14" s="77"/>
      <c r="D14" s="84" t="s">
        <v>3</v>
      </c>
      <c r="E14" s="95">
        <v>1.8</v>
      </c>
      <c r="F14" s="76"/>
      <c r="G14" s="75"/>
      <c r="H14" s="76">
        <f>'  2025 하반기'!C23</f>
        <v>258362</v>
      </c>
      <c r="I14" s="77">
        <f>H14*E14</f>
        <v>465051.60000000003</v>
      </c>
      <c r="J14" s="76"/>
      <c r="K14" s="77">
        <f t="shared" si="2"/>
        <v>465051.60000000003</v>
      </c>
    </row>
    <row r="15" spans="1:16" s="79" customFormat="1" ht="19.5" customHeight="1" x14ac:dyDescent="0.3">
      <c r="A15" s="209" t="s">
        <v>732</v>
      </c>
      <c r="B15" s="209"/>
      <c r="C15" s="77"/>
      <c r="D15" s="84" t="s">
        <v>718</v>
      </c>
      <c r="E15" s="95">
        <v>1.6</v>
      </c>
      <c r="F15" s="76"/>
      <c r="G15" s="75"/>
      <c r="H15" s="76">
        <f>'  2025 하반기'!C19</f>
        <v>250389</v>
      </c>
      <c r="I15" s="77">
        <f>H15*E15</f>
        <v>400622.4</v>
      </c>
      <c r="J15" s="76"/>
      <c r="K15" s="77">
        <f t="shared" si="2"/>
        <v>400622.4</v>
      </c>
    </row>
    <row r="16" spans="1:16" s="79" customFormat="1" ht="21" customHeight="1" x14ac:dyDescent="0.3">
      <c r="A16" s="210" t="s">
        <v>6</v>
      </c>
      <c r="B16" s="210"/>
      <c r="C16" s="77"/>
      <c r="D16" s="86"/>
      <c r="E16" s="95"/>
      <c r="F16" s="76"/>
      <c r="G16" s="77">
        <f t="shared" ref="G16:I16" si="3">SUM(G9:G15)</f>
        <v>103650</v>
      </c>
      <c r="H16" s="77"/>
      <c r="I16" s="77">
        <f t="shared" si="3"/>
        <v>1632426.6</v>
      </c>
      <c r="J16" s="77"/>
      <c r="K16" s="77">
        <f>SUM(K9:K15)</f>
        <v>1736076.6</v>
      </c>
      <c r="P16" s="81"/>
    </row>
    <row r="17" spans="1:11" s="79" customFormat="1" ht="19.5" customHeight="1" x14ac:dyDescent="0.3">
      <c r="A17" s="213"/>
      <c r="B17" s="214"/>
      <c r="C17" s="72"/>
      <c r="D17" s="82"/>
      <c r="E17" s="94"/>
      <c r="F17" s="74"/>
      <c r="G17" s="75"/>
      <c r="H17" s="76"/>
      <c r="I17" s="77"/>
      <c r="J17" s="76"/>
      <c r="K17" s="77"/>
    </row>
    <row r="18" spans="1:11" x14ac:dyDescent="0.3">
      <c r="A18" s="237"/>
      <c r="B18" s="238"/>
      <c r="C18" s="17"/>
      <c r="D18" s="118"/>
      <c r="E18" s="130"/>
      <c r="F18" s="131"/>
      <c r="G18" s="128"/>
      <c r="H18" s="127"/>
      <c r="I18" s="125"/>
      <c r="J18" s="127"/>
      <c r="K18" s="121"/>
    </row>
    <row r="19" spans="1:11" s="79" customFormat="1" ht="19.5" customHeight="1" x14ac:dyDescent="0.3">
      <c r="A19" s="213"/>
      <c r="B19" s="214"/>
      <c r="C19" s="72"/>
      <c r="D19" s="67"/>
      <c r="E19" s="94"/>
      <c r="F19" s="74"/>
      <c r="G19" s="75"/>
      <c r="H19" s="76"/>
      <c r="I19" s="77"/>
      <c r="J19" s="76"/>
      <c r="K19" s="77"/>
    </row>
    <row r="20" spans="1:11" x14ac:dyDescent="0.3">
      <c r="A20" s="237"/>
      <c r="B20" s="238"/>
      <c r="C20" s="17"/>
      <c r="D20" s="118"/>
      <c r="E20" s="130"/>
      <c r="F20" s="131"/>
      <c r="G20" s="128"/>
      <c r="H20" s="127"/>
      <c r="I20" s="125"/>
      <c r="J20" s="127"/>
      <c r="K20" s="121"/>
    </row>
    <row r="21" spans="1:11" x14ac:dyDescent="0.3">
      <c r="A21" s="232"/>
      <c r="B21" s="233"/>
      <c r="C21" s="132"/>
      <c r="D21" s="118"/>
      <c r="E21" s="129"/>
      <c r="F21" s="133"/>
      <c r="G21" s="116"/>
      <c r="H21" s="115"/>
      <c r="I21" s="125"/>
      <c r="J21" s="115"/>
      <c r="K21" s="121"/>
    </row>
    <row r="22" spans="1:11" x14ac:dyDescent="0.3">
      <c r="A22" s="234"/>
      <c r="B22" s="235"/>
      <c r="C22" s="17"/>
      <c r="D22" s="15"/>
      <c r="E22" s="130"/>
      <c r="F22" s="131"/>
      <c r="G22" s="128"/>
      <c r="H22" s="127"/>
      <c r="I22" s="125"/>
      <c r="J22" s="127"/>
      <c r="K22" s="121"/>
    </row>
    <row r="23" spans="1:11" x14ac:dyDescent="0.3">
      <c r="A23" s="234"/>
      <c r="B23" s="235"/>
      <c r="C23" s="17"/>
      <c r="D23" s="15"/>
      <c r="E23" s="130"/>
      <c r="F23" s="131"/>
      <c r="G23" s="128"/>
      <c r="H23" s="127"/>
      <c r="I23" s="125"/>
      <c r="J23" s="127"/>
      <c r="K23" s="121"/>
    </row>
    <row r="24" spans="1:11" x14ac:dyDescent="0.3">
      <c r="A24" s="236"/>
      <c r="B24" s="236"/>
      <c r="C24" s="125"/>
      <c r="D24" s="126"/>
      <c r="E24" s="135"/>
      <c r="F24" s="127"/>
      <c r="G24" s="128"/>
      <c r="H24" s="127"/>
      <c r="I24" s="125"/>
      <c r="J24" s="127"/>
      <c r="K24" s="121"/>
    </row>
    <row r="25" spans="1:11" x14ac:dyDescent="0.3">
      <c r="A25" s="231"/>
      <c r="B25" s="231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1" x14ac:dyDescent="0.3">
      <c r="A26" s="236"/>
      <c r="B26" s="236"/>
      <c r="C26" s="125"/>
      <c r="D26" s="126"/>
      <c r="E26" s="135"/>
      <c r="F26" s="127"/>
      <c r="G26" s="128"/>
      <c r="H26" s="128"/>
      <c r="I26" s="128"/>
      <c r="J26" s="128"/>
      <c r="K26" s="121"/>
    </row>
    <row r="27" spans="1:11" x14ac:dyDescent="0.3">
      <c r="A27" s="231" t="s">
        <v>12</v>
      </c>
      <c r="B27" s="231"/>
      <c r="C27" s="125"/>
      <c r="D27" s="126"/>
      <c r="E27" s="135"/>
      <c r="F27" s="127"/>
      <c r="G27" s="128">
        <f>G16+G7</f>
        <v>103650</v>
      </c>
      <c r="H27" s="128"/>
      <c r="I27" s="128">
        <f>I7+I16</f>
        <v>2255558.6</v>
      </c>
      <c r="J27" s="128"/>
      <c r="K27" s="128">
        <f t="shared" ref="K27" si="4">K7+K16</f>
        <v>2359208.6</v>
      </c>
    </row>
  </sheetData>
  <mergeCells count="32">
    <mergeCell ref="A8:B8"/>
    <mergeCell ref="F1:I1"/>
    <mergeCell ref="A2:B3"/>
    <mergeCell ref="C2:C3"/>
    <mergeCell ref="D2:D3"/>
    <mergeCell ref="E2:E3"/>
    <mergeCell ref="F2:G2"/>
    <mergeCell ref="H2:I2"/>
    <mergeCell ref="J2:K2"/>
    <mergeCell ref="A4:C4"/>
    <mergeCell ref="A5:B5"/>
    <mergeCell ref="A6:B6"/>
    <mergeCell ref="A7:B7"/>
    <mergeCell ref="A20:B20"/>
    <mergeCell ref="A19:B19"/>
    <mergeCell ref="A9:B9"/>
    <mergeCell ref="A10:B10"/>
    <mergeCell ref="A11:B11"/>
    <mergeCell ref="A12:B12"/>
    <mergeCell ref="A13:B13"/>
    <mergeCell ref="A14:B14"/>
    <mergeCell ref="A15:B15"/>
    <mergeCell ref="A17:B17"/>
    <mergeCell ref="A16:B16"/>
    <mergeCell ref="A18:B18"/>
    <mergeCell ref="A27:B27"/>
    <mergeCell ref="A21:B21"/>
    <mergeCell ref="A22:B22"/>
    <mergeCell ref="A23:B23"/>
    <mergeCell ref="A24:B24"/>
    <mergeCell ref="A25:B25"/>
    <mergeCell ref="A26:B26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75B0-CC1C-402A-9E48-74F0C57CC59F}">
  <dimension ref="A1:P27"/>
  <sheetViews>
    <sheetView view="pageBreakPreview" zoomScale="120" zoomScaleNormal="100" zoomScaleSheetLayoutView="120" workbookViewId="0">
      <selection activeCell="E5" sqref="E5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728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3" customFormat="1" ht="19.5" customHeight="1" x14ac:dyDescent="0.3">
      <c r="A4" s="235" t="s">
        <v>742</v>
      </c>
      <c r="B4" s="235"/>
      <c r="C4" s="117" t="s">
        <v>17</v>
      </c>
      <c r="D4" s="118" t="s">
        <v>76</v>
      </c>
      <c r="E4" s="119">
        <v>3.8</v>
      </c>
      <c r="F4" s="120"/>
      <c r="G4" s="121"/>
      <c r="H4" s="120"/>
      <c r="I4" s="122"/>
      <c r="J4" s="120"/>
      <c r="K4" s="121"/>
    </row>
    <row r="5" spans="1:16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f>(0.036*E4)*2</f>
        <v>0.27359999999999995</v>
      </c>
      <c r="F5" s="120"/>
      <c r="G5" s="121"/>
      <c r="H5" s="120">
        <f>'  2025 하반기'!C24</f>
        <v>255231</v>
      </c>
      <c r="I5" s="121">
        <f>E5*H5</f>
        <v>69831.201599999986</v>
      </c>
      <c r="J5" s="120"/>
      <c r="K5" s="121">
        <f>I5+G5</f>
        <v>69831.201599999986</v>
      </c>
    </row>
    <row r="6" spans="1:16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0.19759999999999997</v>
      </c>
      <c r="F6" s="120"/>
      <c r="G6" s="121"/>
      <c r="H6" s="120">
        <f>'  2025 하반기'!C8</f>
        <v>171037</v>
      </c>
      <c r="I6" s="121">
        <f>E6*H6</f>
        <v>33796.911199999995</v>
      </c>
      <c r="J6" s="120"/>
      <c r="K6" s="121">
        <f t="shared" ref="K6:K15" si="0">I6+G6</f>
        <v>33796.911199999995</v>
      </c>
    </row>
    <row r="7" spans="1:16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103628</v>
      </c>
      <c r="J7" s="127"/>
      <c r="K7" s="121">
        <f t="shared" si="0"/>
        <v>103628</v>
      </c>
    </row>
    <row r="8" spans="1:16" s="114" customFormat="1" ht="19.5" customHeight="1" x14ac:dyDescent="0.3">
      <c r="A8" s="248" t="s">
        <v>743</v>
      </c>
      <c r="B8" s="249"/>
      <c r="C8" s="250"/>
      <c r="D8" s="118" t="s">
        <v>76</v>
      </c>
      <c r="E8" s="129">
        <v>3.8</v>
      </c>
      <c r="F8" s="115"/>
      <c r="G8" s="116"/>
      <c r="H8" s="115"/>
      <c r="I8" s="116"/>
      <c r="J8" s="115"/>
      <c r="K8" s="121">
        <f t="shared" si="0"/>
        <v>0</v>
      </c>
    </row>
    <row r="9" spans="1:16" s="13" customFormat="1" ht="19.5" customHeight="1" x14ac:dyDescent="0.3">
      <c r="A9" s="234" t="s">
        <v>751</v>
      </c>
      <c r="B9" s="235"/>
      <c r="C9" s="17" t="s">
        <v>744</v>
      </c>
      <c r="D9" s="118" t="s">
        <v>76</v>
      </c>
      <c r="E9" s="130">
        <f>E8</f>
        <v>3.8</v>
      </c>
      <c r="F9" s="131">
        <v>55000</v>
      </c>
      <c r="G9" s="128">
        <f>F9*E9</f>
        <v>209000</v>
      </c>
      <c r="H9" s="127" t="s">
        <v>17</v>
      </c>
      <c r="I9" s="125" t="s">
        <v>17</v>
      </c>
      <c r="J9" s="127"/>
      <c r="K9" s="121">
        <f>G9</f>
        <v>209000</v>
      </c>
    </row>
    <row r="10" spans="1:16" s="13" customFormat="1" ht="21" customHeight="1" x14ac:dyDescent="0.3">
      <c r="A10" s="234" t="s">
        <v>745</v>
      </c>
      <c r="B10" s="235"/>
      <c r="C10" s="17" t="s">
        <v>746</v>
      </c>
      <c r="D10" s="118" t="s">
        <v>76</v>
      </c>
      <c r="E10" s="130">
        <f>E8</f>
        <v>3.8</v>
      </c>
      <c r="F10" s="131">
        <v>23000</v>
      </c>
      <c r="G10" s="128">
        <f>F10*E10</f>
        <v>87400</v>
      </c>
      <c r="H10" s="127" t="s">
        <v>17</v>
      </c>
      <c r="I10" s="125" t="s">
        <v>17</v>
      </c>
      <c r="J10" s="127"/>
      <c r="K10" s="121">
        <f t="shared" ref="K10:K11" si="1">G10</f>
        <v>87400</v>
      </c>
    </row>
    <row r="11" spans="1:16" s="13" customFormat="1" ht="21" customHeight="1" x14ac:dyDescent="0.3">
      <c r="A11" s="232" t="s">
        <v>747</v>
      </c>
      <c r="B11" s="233"/>
      <c r="C11" s="132" t="s">
        <v>748</v>
      </c>
      <c r="D11" s="118" t="s">
        <v>76</v>
      </c>
      <c r="E11" s="129">
        <f>E8</f>
        <v>3.8</v>
      </c>
      <c r="F11" s="133">
        <v>350000</v>
      </c>
      <c r="G11" s="116">
        <f>F11*E11</f>
        <v>1330000</v>
      </c>
      <c r="H11" s="115"/>
      <c r="I11" s="125" t="s">
        <v>17</v>
      </c>
      <c r="J11" s="115"/>
      <c r="K11" s="121">
        <f t="shared" si="1"/>
        <v>1330000</v>
      </c>
      <c r="P11" s="134"/>
    </row>
    <row r="12" spans="1:16" s="114" customFormat="1" ht="19.5" customHeight="1" x14ac:dyDescent="0.3">
      <c r="A12" s="234" t="s">
        <v>749</v>
      </c>
      <c r="B12" s="235"/>
      <c r="C12" s="17" t="s">
        <v>17</v>
      </c>
      <c r="D12" s="15" t="s">
        <v>3</v>
      </c>
      <c r="E12" s="130">
        <v>2.2000000000000002</v>
      </c>
      <c r="F12" s="131" t="s">
        <v>17</v>
      </c>
      <c r="G12" s="128"/>
      <c r="H12" s="127">
        <f>'  2025 하반기'!C19</f>
        <v>250389</v>
      </c>
      <c r="I12" s="125">
        <f t="shared" ref="I12" si="2">H12*E12</f>
        <v>550855.80000000005</v>
      </c>
      <c r="J12" s="127"/>
      <c r="K12" s="121">
        <f t="shared" ref="K12" si="3">I12+G12</f>
        <v>550855.80000000005</v>
      </c>
    </row>
    <row r="13" spans="1:16" s="13" customFormat="1" ht="19.5" customHeight="1" x14ac:dyDescent="0.3">
      <c r="A13" s="234" t="s">
        <v>548</v>
      </c>
      <c r="B13" s="235"/>
      <c r="C13" s="17" t="s">
        <v>17</v>
      </c>
      <c r="D13" s="15" t="s">
        <v>3</v>
      </c>
      <c r="E13" s="130">
        <v>1.35</v>
      </c>
      <c r="F13" s="131" t="s">
        <v>17</v>
      </c>
      <c r="G13" s="128"/>
      <c r="H13" s="127">
        <f>'  2025 하반기'!C24</f>
        <v>255231</v>
      </c>
      <c r="I13" s="125">
        <f t="shared" ref="I13:I14" si="4">H13*E13</f>
        <v>344561.85000000003</v>
      </c>
      <c r="J13" s="127"/>
      <c r="K13" s="121">
        <f t="shared" si="0"/>
        <v>344561.85000000003</v>
      </c>
    </row>
    <row r="14" spans="1:16" s="114" customFormat="1" ht="19.5" customHeight="1" x14ac:dyDescent="0.3">
      <c r="A14" s="234" t="s">
        <v>549</v>
      </c>
      <c r="B14" s="235"/>
      <c r="C14" s="17" t="s">
        <v>17</v>
      </c>
      <c r="D14" s="15" t="s">
        <v>3</v>
      </c>
      <c r="E14" s="130">
        <f>0.21*E8</f>
        <v>0.79799999999999993</v>
      </c>
      <c r="F14" s="131" t="s">
        <v>17</v>
      </c>
      <c r="G14" s="128"/>
      <c r="H14" s="127">
        <f>'  2025 하반기'!C8</f>
        <v>171037</v>
      </c>
      <c r="I14" s="125">
        <f t="shared" si="4"/>
        <v>136487.52599999998</v>
      </c>
      <c r="J14" s="127"/>
      <c r="K14" s="121">
        <f t="shared" si="0"/>
        <v>136487.52599999998</v>
      </c>
    </row>
    <row r="15" spans="1:16" s="13" customFormat="1" ht="19.5" customHeight="1" x14ac:dyDescent="0.3">
      <c r="A15" s="236" t="s">
        <v>49</v>
      </c>
      <c r="B15" s="236"/>
      <c r="C15" s="125"/>
      <c r="D15" s="126" t="s">
        <v>3</v>
      </c>
      <c r="E15" s="135">
        <f>0.34*E8</f>
        <v>1.292</v>
      </c>
      <c r="F15" s="127"/>
      <c r="G15" s="128"/>
      <c r="H15" s="127">
        <f>'  2025 하반기'!C23</f>
        <v>258362</v>
      </c>
      <c r="I15" s="125">
        <f>H15*E15</f>
        <v>333803.70400000003</v>
      </c>
      <c r="J15" s="127"/>
      <c r="K15" s="121">
        <f t="shared" si="0"/>
        <v>333803.70400000003</v>
      </c>
    </row>
    <row r="16" spans="1:16" s="13" customFormat="1" ht="19.5" customHeight="1" x14ac:dyDescent="0.3">
      <c r="A16" s="234" t="s">
        <v>750</v>
      </c>
      <c r="B16" s="235"/>
      <c r="C16" s="17" t="s">
        <v>17</v>
      </c>
      <c r="D16" s="15" t="s">
        <v>3</v>
      </c>
      <c r="E16" s="130">
        <v>12</v>
      </c>
      <c r="F16" s="131" t="s">
        <v>17</v>
      </c>
      <c r="G16" s="128"/>
      <c r="H16" s="127">
        <f>'  2025 하반기'!C34</f>
        <v>237652</v>
      </c>
      <c r="I16" s="125">
        <f t="shared" ref="I16" si="5">H16*E16</f>
        <v>2851824</v>
      </c>
      <c r="J16" s="127"/>
      <c r="K16" s="121">
        <f t="shared" ref="K16" si="6">I16+G16</f>
        <v>2851824</v>
      </c>
    </row>
    <row r="17" spans="1:11" s="13" customFormat="1" ht="19.5" customHeight="1" x14ac:dyDescent="0.3">
      <c r="A17" s="231" t="s">
        <v>733</v>
      </c>
      <c r="B17" s="231"/>
      <c r="C17" s="125"/>
      <c r="D17" s="126"/>
      <c r="E17" s="135"/>
      <c r="F17" s="127"/>
      <c r="G17" s="128">
        <f>SUM(G9:G16)</f>
        <v>1626400</v>
      </c>
      <c r="H17" s="128" t="s">
        <v>17</v>
      </c>
      <c r="I17" s="128">
        <f>SUM(I9:I16)</f>
        <v>4217532.88</v>
      </c>
      <c r="J17" s="128" t="s">
        <v>17</v>
      </c>
      <c r="K17" s="128">
        <f>SUM(K9:K16)</f>
        <v>5843932.8799999999</v>
      </c>
    </row>
    <row r="18" spans="1:11" x14ac:dyDescent="0.3">
      <c r="A18" s="236"/>
      <c r="B18" s="236"/>
      <c r="C18" s="125"/>
      <c r="D18" s="126"/>
      <c r="E18" s="135"/>
      <c r="F18" s="127"/>
      <c r="G18" s="128"/>
      <c r="H18" s="128"/>
      <c r="I18" s="128"/>
      <c r="J18" s="128"/>
      <c r="K18" s="121"/>
    </row>
    <row r="19" spans="1:11" x14ac:dyDescent="0.3">
      <c r="A19" s="236"/>
      <c r="B19" s="236"/>
      <c r="C19" s="125"/>
      <c r="D19" s="126"/>
      <c r="E19" s="135"/>
      <c r="F19" s="127"/>
      <c r="G19" s="128"/>
      <c r="H19" s="128"/>
      <c r="I19" s="128"/>
      <c r="J19" s="128"/>
      <c r="K19" s="121"/>
    </row>
    <row r="20" spans="1:11" x14ac:dyDescent="0.3">
      <c r="A20" s="236"/>
      <c r="B20" s="236"/>
      <c r="C20" s="125"/>
      <c r="D20" s="126"/>
      <c r="E20" s="135"/>
      <c r="F20" s="127"/>
      <c r="G20" s="128"/>
      <c r="H20" s="128"/>
      <c r="I20" s="128"/>
      <c r="J20" s="128"/>
      <c r="K20" s="121"/>
    </row>
    <row r="21" spans="1:11" x14ac:dyDescent="0.3">
      <c r="A21" s="236"/>
      <c r="B21" s="236"/>
      <c r="C21" s="125"/>
      <c r="D21" s="126"/>
      <c r="E21" s="135"/>
      <c r="F21" s="127"/>
      <c r="G21" s="128"/>
      <c r="H21" s="128"/>
      <c r="I21" s="128"/>
      <c r="J21" s="128"/>
      <c r="K21" s="121"/>
    </row>
    <row r="22" spans="1:11" s="114" customFormat="1" ht="19.5" customHeight="1" x14ac:dyDescent="0.3">
      <c r="A22" s="235"/>
      <c r="B22" s="235"/>
      <c r="C22" s="117"/>
      <c r="D22" s="118"/>
      <c r="E22" s="119"/>
      <c r="F22" s="120"/>
      <c r="G22" s="121"/>
      <c r="H22" s="120"/>
      <c r="I22" s="122"/>
      <c r="J22" s="120"/>
      <c r="K22" s="121"/>
    </row>
    <row r="23" spans="1:11" x14ac:dyDescent="0.3">
      <c r="A23" s="236"/>
      <c r="B23" s="236"/>
      <c r="C23" s="125"/>
      <c r="D23" s="126"/>
      <c r="E23" s="135"/>
      <c r="F23" s="127"/>
      <c r="G23" s="128"/>
      <c r="H23" s="128"/>
      <c r="I23" s="128"/>
      <c r="J23" s="128"/>
      <c r="K23" s="121"/>
    </row>
    <row r="24" spans="1:11" x14ac:dyDescent="0.3">
      <c r="A24" s="236"/>
      <c r="B24" s="236"/>
      <c r="C24" s="125"/>
      <c r="D24" s="126"/>
      <c r="E24" s="135"/>
      <c r="F24" s="127"/>
      <c r="G24" s="128"/>
      <c r="H24" s="128"/>
      <c r="I24" s="128"/>
      <c r="J24" s="128"/>
      <c r="K24" s="121"/>
    </row>
    <row r="25" spans="1:11" x14ac:dyDescent="0.3">
      <c r="A25" s="236"/>
      <c r="B25" s="236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1" x14ac:dyDescent="0.3">
      <c r="A26" s="236"/>
      <c r="B26" s="236"/>
      <c r="C26" s="125"/>
      <c r="D26" s="126"/>
      <c r="E26" s="135"/>
      <c r="F26" s="127"/>
      <c r="G26" s="128"/>
      <c r="H26" s="128"/>
      <c r="I26" s="128"/>
      <c r="J26" s="128"/>
      <c r="K26" s="121"/>
    </row>
    <row r="27" spans="1:11" x14ac:dyDescent="0.3">
      <c r="A27" s="231" t="s">
        <v>12</v>
      </c>
      <c r="B27" s="231"/>
      <c r="C27" s="125"/>
      <c r="D27" s="126"/>
      <c r="E27" s="135"/>
      <c r="F27" s="127"/>
      <c r="G27" s="128">
        <f>G17+G7</f>
        <v>1626400</v>
      </c>
      <c r="H27" s="128"/>
      <c r="I27" s="128">
        <f>I17+I7</f>
        <v>4321160.88</v>
      </c>
      <c r="J27" s="128"/>
      <c r="K27" s="121">
        <f>I27+G27</f>
        <v>5947560.8799999999</v>
      </c>
    </row>
  </sheetData>
  <mergeCells count="32">
    <mergeCell ref="F1:I1"/>
    <mergeCell ref="A2:B3"/>
    <mergeCell ref="C2:C3"/>
    <mergeCell ref="D2:D3"/>
    <mergeCell ref="E2:E3"/>
    <mergeCell ref="F2:G2"/>
    <mergeCell ref="H2:I2"/>
    <mergeCell ref="A11:B11"/>
    <mergeCell ref="A13:B13"/>
    <mergeCell ref="A14:B14"/>
    <mergeCell ref="J2:K2"/>
    <mergeCell ref="A22:B22"/>
    <mergeCell ref="A4:B4"/>
    <mergeCell ref="A5:B5"/>
    <mergeCell ref="A6:B6"/>
    <mergeCell ref="A7:B7"/>
    <mergeCell ref="A27:B27"/>
    <mergeCell ref="A8:C8"/>
    <mergeCell ref="A12:B12"/>
    <mergeCell ref="A16:B16"/>
    <mergeCell ref="A23:B23"/>
    <mergeCell ref="A24:B24"/>
    <mergeCell ref="A25:B25"/>
    <mergeCell ref="A26:B26"/>
    <mergeCell ref="A15:B15"/>
    <mergeCell ref="A17:B17"/>
    <mergeCell ref="A18:B18"/>
    <mergeCell ref="A19:B19"/>
    <mergeCell ref="A20:B20"/>
    <mergeCell ref="A21:B21"/>
    <mergeCell ref="A9:B9"/>
    <mergeCell ref="A10:B10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EB58-1F46-4302-AA1F-6A88224E3DA0}">
  <dimension ref="A1:P27"/>
  <sheetViews>
    <sheetView view="pageBreakPreview" topLeftCell="B11" zoomScale="120" zoomScaleNormal="100" zoomScaleSheetLayoutView="120" workbookViewId="0">
      <selection activeCell="F24" sqref="F24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6" s="113" customFormat="1" ht="19.5" customHeight="1" x14ac:dyDescent="0.3">
      <c r="A1" s="106" t="s">
        <v>0</v>
      </c>
      <c r="B1" s="107" t="s">
        <v>752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6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6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6" s="13" customFormat="1" ht="19.5" customHeight="1" x14ac:dyDescent="0.3">
      <c r="A4" s="252" t="s">
        <v>753</v>
      </c>
      <c r="B4" s="252"/>
      <c r="C4" s="6" t="s">
        <v>17</v>
      </c>
      <c r="D4" s="12" t="s">
        <v>76</v>
      </c>
      <c r="E4" s="3">
        <v>35.299999999999997</v>
      </c>
      <c r="F4" s="4"/>
      <c r="G4" s="5"/>
      <c r="H4" s="4"/>
      <c r="I4" s="5"/>
      <c r="J4" s="4"/>
      <c r="K4" s="5"/>
    </row>
    <row r="5" spans="1:16" s="114" customFormat="1" ht="19.5" customHeight="1" x14ac:dyDescent="0.3">
      <c r="A5" s="252" t="s">
        <v>18</v>
      </c>
      <c r="B5" s="252"/>
      <c r="C5" s="1"/>
      <c r="D5" s="2" t="s">
        <v>3</v>
      </c>
      <c r="E5" s="3">
        <f>(0.036*E4)*2</f>
        <v>2.5415999999999994</v>
      </c>
      <c r="F5" s="4"/>
      <c r="G5" s="5"/>
      <c r="H5" s="4">
        <f>'  2025 하반기'!C24</f>
        <v>255231</v>
      </c>
      <c r="I5" s="5">
        <f>E5*H5</f>
        <v>648695.10959999985</v>
      </c>
      <c r="J5" s="4"/>
      <c r="K5" s="5">
        <f>I5</f>
        <v>648695.10959999985</v>
      </c>
    </row>
    <row r="6" spans="1:16" s="114" customFormat="1" ht="19.5" customHeight="1" x14ac:dyDescent="0.3">
      <c r="A6" s="252" t="s">
        <v>4</v>
      </c>
      <c r="B6" s="252"/>
      <c r="C6" s="1"/>
      <c r="D6" s="2" t="s">
        <v>3</v>
      </c>
      <c r="E6" s="3">
        <f>(0.026*E4)*2</f>
        <v>1.8355999999999997</v>
      </c>
      <c r="F6" s="4"/>
      <c r="G6" s="5"/>
      <c r="H6" s="4">
        <f>'  2025 하반기'!C8</f>
        <v>171037</v>
      </c>
      <c r="I6" s="5">
        <f>E6*H6</f>
        <v>313955.51719999994</v>
      </c>
      <c r="J6" s="4"/>
      <c r="K6" s="5">
        <f>I6</f>
        <v>313955.51719999994</v>
      </c>
    </row>
    <row r="7" spans="1:16" s="13" customFormat="1" ht="19.5" customHeight="1" x14ac:dyDescent="0.3">
      <c r="A7" s="251" t="s">
        <v>6</v>
      </c>
      <c r="B7" s="251"/>
      <c r="C7" s="7"/>
      <c r="D7" s="56"/>
      <c r="E7" s="3"/>
      <c r="F7" s="8"/>
      <c r="G7" s="5"/>
      <c r="H7" s="8"/>
      <c r="I7" s="55">
        <f>INT(SUM(I5:I6))</f>
        <v>962650</v>
      </c>
      <c r="J7" s="55" t="s">
        <v>17</v>
      </c>
      <c r="K7" s="55">
        <f t="shared" ref="K7" si="0">INT(SUM(K5:K6))</f>
        <v>962650</v>
      </c>
    </row>
    <row r="8" spans="1:16" s="114" customFormat="1" ht="19.5" customHeight="1" x14ac:dyDescent="0.3">
      <c r="A8" s="251" t="s">
        <v>17</v>
      </c>
      <c r="B8" s="251"/>
      <c r="C8" s="7"/>
      <c r="D8" s="118"/>
      <c r="E8" s="129"/>
      <c r="F8" s="115"/>
      <c r="G8" s="116"/>
      <c r="H8" s="115"/>
      <c r="I8" s="116"/>
      <c r="J8" s="115"/>
      <c r="K8" s="121"/>
    </row>
    <row r="9" spans="1:16" s="13" customFormat="1" ht="19.5" customHeight="1" x14ac:dyDescent="0.3">
      <c r="A9" s="234"/>
      <c r="B9" s="235"/>
      <c r="C9" s="17"/>
      <c r="D9" s="118"/>
      <c r="E9" s="130"/>
      <c r="F9" s="131"/>
      <c r="G9" s="128"/>
      <c r="H9" s="127"/>
      <c r="I9" s="125"/>
      <c r="J9" s="127"/>
      <c r="K9" s="121"/>
    </row>
    <row r="10" spans="1:16" s="13" customFormat="1" ht="21" customHeight="1" x14ac:dyDescent="0.3">
      <c r="A10" s="234"/>
      <c r="B10" s="235"/>
      <c r="C10" s="17"/>
      <c r="D10" s="118"/>
      <c r="E10" s="130"/>
      <c r="F10" s="131"/>
      <c r="G10" s="128"/>
      <c r="H10" s="127"/>
      <c r="I10" s="125"/>
      <c r="J10" s="127"/>
      <c r="K10" s="121"/>
    </row>
    <row r="11" spans="1:16" s="13" customFormat="1" ht="21" customHeight="1" x14ac:dyDescent="0.3">
      <c r="A11" s="232"/>
      <c r="B11" s="233"/>
      <c r="C11" s="132"/>
      <c r="D11" s="118"/>
      <c r="E11" s="129"/>
      <c r="F11" s="133"/>
      <c r="G11" s="116"/>
      <c r="H11" s="115"/>
      <c r="I11" s="125"/>
      <c r="J11" s="115"/>
      <c r="K11" s="121"/>
      <c r="P11" s="134"/>
    </row>
    <row r="12" spans="1:16" s="114" customFormat="1" ht="19.5" customHeight="1" x14ac:dyDescent="0.3">
      <c r="A12" s="234"/>
      <c r="B12" s="235"/>
      <c r="C12" s="17"/>
      <c r="D12" s="15"/>
      <c r="E12" s="130"/>
      <c r="F12" s="131"/>
      <c r="G12" s="128"/>
      <c r="H12" s="127"/>
      <c r="I12" s="125"/>
      <c r="J12" s="127"/>
      <c r="K12" s="121"/>
    </row>
    <row r="13" spans="1:16" s="13" customFormat="1" ht="19.5" customHeight="1" x14ac:dyDescent="0.3">
      <c r="A13" s="234"/>
      <c r="B13" s="235"/>
      <c r="C13" s="17"/>
      <c r="D13" s="15"/>
      <c r="E13" s="130"/>
      <c r="F13" s="131"/>
      <c r="G13" s="128"/>
      <c r="H13" s="127"/>
      <c r="I13" s="125"/>
      <c r="J13" s="127"/>
      <c r="K13" s="121"/>
      <c r="M13" s="137" t="s">
        <v>17</v>
      </c>
    </row>
    <row r="14" spans="1:16" s="114" customFormat="1" ht="19.5" customHeight="1" x14ac:dyDescent="0.3">
      <c r="A14" s="234"/>
      <c r="B14" s="235"/>
      <c r="C14" s="17"/>
      <c r="D14" s="15"/>
      <c r="E14" s="130"/>
      <c r="F14" s="131"/>
      <c r="G14" s="128"/>
      <c r="H14" s="127"/>
      <c r="I14" s="125"/>
      <c r="J14" s="127"/>
      <c r="K14" s="121"/>
    </row>
    <row r="15" spans="1:16" s="13" customFormat="1" ht="19.5" customHeight="1" x14ac:dyDescent="0.3">
      <c r="A15" s="236"/>
      <c r="B15" s="236"/>
      <c r="C15" s="125"/>
      <c r="D15" s="126"/>
      <c r="E15" s="135"/>
      <c r="F15" s="127"/>
      <c r="G15" s="128"/>
      <c r="H15" s="127"/>
      <c r="I15" s="125"/>
      <c r="J15" s="127"/>
      <c r="K15" s="121"/>
    </row>
    <row r="16" spans="1:16" s="13" customFormat="1" ht="19.5" customHeight="1" x14ac:dyDescent="0.3">
      <c r="A16" s="234"/>
      <c r="B16" s="235"/>
      <c r="C16" s="17"/>
      <c r="D16" s="15"/>
      <c r="E16" s="130"/>
      <c r="F16" s="131"/>
      <c r="G16" s="128"/>
      <c r="H16" s="127"/>
      <c r="I16" s="125"/>
      <c r="J16" s="127"/>
      <c r="K16" s="121"/>
    </row>
    <row r="17" spans="1:11" s="13" customFormat="1" ht="19.5" customHeight="1" x14ac:dyDescent="0.3">
      <c r="A17" s="231"/>
      <c r="B17" s="231"/>
      <c r="C17" s="125"/>
      <c r="D17" s="126"/>
      <c r="E17" s="135"/>
      <c r="F17" s="127"/>
      <c r="G17" s="128"/>
      <c r="H17" s="128"/>
      <c r="I17" s="128"/>
      <c r="J17" s="128"/>
      <c r="K17" s="128"/>
    </row>
    <row r="18" spans="1:11" x14ac:dyDescent="0.3">
      <c r="A18" s="236"/>
      <c r="B18" s="236"/>
      <c r="C18" s="125"/>
      <c r="D18" s="126"/>
      <c r="E18" s="135"/>
      <c r="F18" s="127"/>
      <c r="G18" s="128"/>
      <c r="H18" s="128"/>
      <c r="I18" s="128"/>
      <c r="J18" s="128"/>
      <c r="K18" s="121"/>
    </row>
    <row r="19" spans="1:11" x14ac:dyDescent="0.3">
      <c r="A19" s="236"/>
      <c r="B19" s="236"/>
      <c r="C19" s="125"/>
      <c r="D19" s="126"/>
      <c r="E19" s="135"/>
      <c r="F19" s="127"/>
      <c r="G19" s="128"/>
      <c r="H19" s="128"/>
      <c r="I19" s="128"/>
      <c r="J19" s="128"/>
      <c r="K19" s="121"/>
    </row>
    <row r="20" spans="1:11" x14ac:dyDescent="0.3">
      <c r="A20" s="236"/>
      <c r="B20" s="236"/>
      <c r="C20" s="125"/>
      <c r="D20" s="126"/>
      <c r="E20" s="135"/>
      <c r="F20" s="127"/>
      <c r="G20" s="128"/>
      <c r="H20" s="128"/>
      <c r="I20" s="128"/>
      <c r="J20" s="128"/>
      <c r="K20" s="121"/>
    </row>
    <row r="21" spans="1:11" x14ac:dyDescent="0.3">
      <c r="A21" s="236"/>
      <c r="B21" s="236"/>
      <c r="C21" s="125"/>
      <c r="D21" s="126"/>
      <c r="E21" s="135"/>
      <c r="F21" s="127"/>
      <c r="G21" s="128"/>
      <c r="H21" s="128"/>
      <c r="I21" s="128"/>
      <c r="J21" s="128"/>
      <c r="K21" s="121"/>
    </row>
    <row r="22" spans="1:11" s="114" customFormat="1" ht="19.5" customHeight="1" x14ac:dyDescent="0.3">
      <c r="A22" s="235"/>
      <c r="B22" s="235"/>
      <c r="C22" s="117"/>
      <c r="D22" s="118"/>
      <c r="E22" s="119"/>
      <c r="F22" s="120"/>
      <c r="G22" s="121"/>
      <c r="H22" s="120"/>
      <c r="I22" s="122"/>
      <c r="J22" s="120"/>
      <c r="K22" s="121"/>
    </row>
    <row r="23" spans="1:11" x14ac:dyDescent="0.3">
      <c r="A23" s="236"/>
      <c r="B23" s="236"/>
      <c r="C23" s="125"/>
      <c r="D23" s="126"/>
      <c r="E23" s="135"/>
      <c r="F23" s="127"/>
      <c r="G23" s="128"/>
      <c r="H23" s="128"/>
      <c r="I23" s="128"/>
      <c r="J23" s="128"/>
      <c r="K23" s="121"/>
    </row>
    <row r="24" spans="1:11" x14ac:dyDescent="0.3">
      <c r="A24" s="236"/>
      <c r="B24" s="236"/>
      <c r="C24" s="125"/>
      <c r="D24" s="126"/>
      <c r="E24" s="135"/>
      <c r="F24" s="127"/>
      <c r="G24" s="128"/>
      <c r="H24" s="128"/>
      <c r="I24" s="128"/>
      <c r="J24" s="128"/>
      <c r="K24" s="121"/>
    </row>
    <row r="25" spans="1:11" x14ac:dyDescent="0.3">
      <c r="A25" s="236"/>
      <c r="B25" s="236"/>
      <c r="C25" s="125"/>
      <c r="D25" s="126"/>
      <c r="E25" s="135"/>
      <c r="F25" s="127"/>
      <c r="G25" s="128"/>
      <c r="H25" s="128"/>
      <c r="I25" s="128"/>
      <c r="J25" s="128"/>
      <c r="K25" s="121"/>
    </row>
    <row r="26" spans="1:11" x14ac:dyDescent="0.3">
      <c r="A26" s="236"/>
      <c r="B26" s="236"/>
      <c r="C26" s="125"/>
      <c r="D26" s="126"/>
      <c r="E26" s="135"/>
      <c r="F26" s="127"/>
      <c r="G26" s="128"/>
      <c r="H26" s="128"/>
      <c r="I26" s="128"/>
      <c r="J26" s="128"/>
      <c r="K26" s="121"/>
    </row>
    <row r="27" spans="1:11" x14ac:dyDescent="0.3">
      <c r="A27" s="231" t="s">
        <v>12</v>
      </c>
      <c r="B27" s="231"/>
      <c r="C27" s="125"/>
      <c r="D27" s="126"/>
      <c r="E27" s="135"/>
      <c r="F27" s="127"/>
      <c r="G27" s="128">
        <f>G17+G7</f>
        <v>0</v>
      </c>
      <c r="H27" s="128"/>
      <c r="I27" s="128">
        <f>I17+I7</f>
        <v>962650</v>
      </c>
      <c r="J27" s="128"/>
      <c r="K27" s="121">
        <f>I27+G27</f>
        <v>962650</v>
      </c>
    </row>
  </sheetData>
  <mergeCells count="32">
    <mergeCell ref="F1:I1"/>
    <mergeCell ref="A2:B3"/>
    <mergeCell ref="C2:C3"/>
    <mergeCell ref="D2:D3"/>
    <mergeCell ref="E2:E3"/>
    <mergeCell ref="F2:G2"/>
    <mergeCell ref="H2:I2"/>
    <mergeCell ref="A11:B11"/>
    <mergeCell ref="A12:B12"/>
    <mergeCell ref="A13:B13"/>
    <mergeCell ref="A14:B14"/>
    <mergeCell ref="J2:K2"/>
    <mergeCell ref="A4:B4"/>
    <mergeCell ref="A5:B5"/>
    <mergeCell ref="A6:B6"/>
    <mergeCell ref="A7:B7"/>
    <mergeCell ref="A27:B27"/>
    <mergeCell ref="A8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5C3F-82D3-4585-925B-E765663B559E}">
  <dimension ref="A1:K29"/>
  <sheetViews>
    <sheetView view="pageBreakPreview" topLeftCell="A11" zoomScale="120" zoomScaleNormal="100" zoomScaleSheetLayoutView="120" workbookViewId="0">
      <selection activeCell="J27" sqref="J27"/>
    </sheetView>
  </sheetViews>
  <sheetFormatPr defaultColWidth="8.75" defaultRowHeight="16.5" x14ac:dyDescent="0.3"/>
  <cols>
    <col min="1" max="2" width="8.75" style="136"/>
    <col min="3" max="3" width="12.625" style="136" customWidth="1"/>
    <col min="4" max="4" width="5.25" style="136" customWidth="1"/>
    <col min="5" max="5" width="6.875" style="136" customWidth="1"/>
    <col min="6" max="6" width="10.75" style="136" customWidth="1"/>
    <col min="7" max="7" width="12" style="136" customWidth="1"/>
    <col min="8" max="8" width="10.375" style="136" customWidth="1"/>
    <col min="9" max="9" width="14.875" style="136" customWidth="1"/>
    <col min="10" max="10" width="13.375" style="136" customWidth="1"/>
    <col min="11" max="11" width="18.125" style="136" customWidth="1"/>
    <col min="12" max="16384" width="8.75" style="136"/>
  </cols>
  <sheetData>
    <row r="1" spans="1:11" s="113" customFormat="1" ht="19.5" customHeight="1" x14ac:dyDescent="0.3">
      <c r="A1" s="106" t="s">
        <v>0</v>
      </c>
      <c r="B1" s="107" t="s">
        <v>768</v>
      </c>
      <c r="C1" s="108"/>
      <c r="D1" s="109"/>
      <c r="E1" s="110" t="s">
        <v>17</v>
      </c>
      <c r="F1" s="243" t="s">
        <v>17</v>
      </c>
      <c r="G1" s="244"/>
      <c r="H1" s="244"/>
      <c r="I1" s="244"/>
      <c r="J1" s="111" t="s">
        <v>17</v>
      </c>
      <c r="K1" s="112" t="s">
        <v>17</v>
      </c>
    </row>
    <row r="2" spans="1:11" s="114" customFormat="1" ht="19.5" customHeight="1" x14ac:dyDescent="0.3">
      <c r="A2" s="245" t="s">
        <v>7</v>
      </c>
      <c r="B2" s="245"/>
      <c r="C2" s="246" t="s">
        <v>8</v>
      </c>
      <c r="D2" s="239" t="s">
        <v>9</v>
      </c>
      <c r="E2" s="247" t="s">
        <v>1</v>
      </c>
      <c r="F2" s="239" t="s">
        <v>10</v>
      </c>
      <c r="G2" s="239"/>
      <c r="H2" s="239" t="s">
        <v>11</v>
      </c>
      <c r="I2" s="239"/>
      <c r="J2" s="239" t="s">
        <v>12</v>
      </c>
      <c r="K2" s="239"/>
    </row>
    <row r="3" spans="1:11" s="114" customFormat="1" ht="19.5" customHeight="1" x14ac:dyDescent="0.3">
      <c r="A3" s="245"/>
      <c r="B3" s="245"/>
      <c r="C3" s="246"/>
      <c r="D3" s="239"/>
      <c r="E3" s="247"/>
      <c r="F3" s="115" t="s">
        <v>14</v>
      </c>
      <c r="G3" s="116" t="s">
        <v>15</v>
      </c>
      <c r="H3" s="115" t="s">
        <v>14</v>
      </c>
      <c r="I3" s="116" t="s">
        <v>15</v>
      </c>
      <c r="J3" s="115" t="s">
        <v>14</v>
      </c>
      <c r="K3" s="116" t="s">
        <v>15</v>
      </c>
    </row>
    <row r="4" spans="1:11" s="13" customFormat="1" ht="19.5" customHeight="1" x14ac:dyDescent="0.3">
      <c r="A4" s="235" t="s">
        <v>756</v>
      </c>
      <c r="B4" s="235"/>
      <c r="C4" s="153" t="s">
        <v>17</v>
      </c>
      <c r="D4" s="118" t="s">
        <v>76</v>
      </c>
      <c r="E4" s="119">
        <v>99.3</v>
      </c>
      <c r="F4" s="120"/>
      <c r="G4" s="121"/>
      <c r="H4" s="120"/>
      <c r="I4" s="121"/>
      <c r="J4" s="120"/>
      <c r="K4" s="121"/>
    </row>
    <row r="5" spans="1:11" s="114" customFormat="1" ht="19.5" customHeight="1" x14ac:dyDescent="0.3">
      <c r="A5" s="235" t="s">
        <v>18</v>
      </c>
      <c r="B5" s="235"/>
      <c r="C5" s="123"/>
      <c r="D5" s="124" t="s">
        <v>3</v>
      </c>
      <c r="E5" s="119">
        <f>(0.036*E4)*2</f>
        <v>7.1495999999999995</v>
      </c>
      <c r="F5" s="120"/>
      <c r="G5" s="121"/>
      <c r="H5" s="120">
        <f>'  2025 하반기'!C24</f>
        <v>255231</v>
      </c>
      <c r="I5" s="121">
        <f>E5*H5</f>
        <v>1824799.5575999999</v>
      </c>
      <c r="J5" s="120"/>
      <c r="K5" s="121">
        <f>I5</f>
        <v>1824799.5575999999</v>
      </c>
    </row>
    <row r="6" spans="1:11" s="114" customFormat="1" ht="19.5" customHeight="1" x14ac:dyDescent="0.3">
      <c r="A6" s="235" t="s">
        <v>4</v>
      </c>
      <c r="B6" s="235"/>
      <c r="C6" s="123"/>
      <c r="D6" s="124" t="s">
        <v>3</v>
      </c>
      <c r="E6" s="119">
        <f>(0.026*E4)*2</f>
        <v>5.1635999999999997</v>
      </c>
      <c r="F6" s="120"/>
      <c r="G6" s="121"/>
      <c r="H6" s="120">
        <f>'  2025 하반기'!C8</f>
        <v>171037</v>
      </c>
      <c r="I6" s="121">
        <f>E6*H6</f>
        <v>883166.65319999994</v>
      </c>
      <c r="J6" s="120"/>
      <c r="K6" s="121">
        <f>I6</f>
        <v>883166.65319999994</v>
      </c>
    </row>
    <row r="7" spans="1:11" s="13" customFormat="1" ht="19.5" customHeight="1" x14ac:dyDescent="0.3">
      <c r="A7" s="231" t="s">
        <v>6</v>
      </c>
      <c r="B7" s="231"/>
      <c r="C7" s="125"/>
      <c r="D7" s="126"/>
      <c r="E7" s="119"/>
      <c r="F7" s="127"/>
      <c r="G7" s="121"/>
      <c r="H7" s="127"/>
      <c r="I7" s="128">
        <f>INT(SUM(I5:I6))</f>
        <v>2707966</v>
      </c>
      <c r="J7" s="128"/>
      <c r="K7" s="128">
        <f t="shared" ref="K7" si="0">INT(SUM(K5:K6))</f>
        <v>2707966</v>
      </c>
    </row>
    <row r="8" spans="1:11" s="13" customFormat="1" ht="19.5" customHeight="1" x14ac:dyDescent="0.3">
      <c r="A8" s="240" t="s">
        <v>761</v>
      </c>
      <c r="B8" s="241"/>
      <c r="C8" s="253"/>
      <c r="D8" s="118" t="s">
        <v>76</v>
      </c>
      <c r="E8" s="119">
        <v>99.3</v>
      </c>
      <c r="F8" s="120"/>
      <c r="G8" s="121"/>
      <c r="H8" s="120"/>
      <c r="I8" s="121"/>
      <c r="J8" s="120"/>
      <c r="K8" s="121"/>
    </row>
    <row r="9" spans="1:11" s="13" customFormat="1" ht="19.5" customHeight="1" x14ac:dyDescent="0.3">
      <c r="A9" s="254" t="s">
        <v>757</v>
      </c>
      <c r="B9" s="254"/>
      <c r="C9" s="170" t="s">
        <v>764</v>
      </c>
      <c r="D9" s="171" t="s">
        <v>132</v>
      </c>
      <c r="E9" s="172">
        <f>4.44*E8</f>
        <v>440.89200000000005</v>
      </c>
      <c r="F9" s="173">
        <v>3600</v>
      </c>
      <c r="G9" s="128">
        <f t="shared" ref="G9:G11" si="1">F9*E9</f>
        <v>1587211.2000000002</v>
      </c>
      <c r="H9" s="174"/>
      <c r="I9" s="174"/>
      <c r="J9" s="174"/>
      <c r="K9" s="125">
        <f>I9+G9</f>
        <v>1587211.2000000002</v>
      </c>
    </row>
    <row r="10" spans="1:11" x14ac:dyDescent="0.3">
      <c r="A10" s="254" t="s">
        <v>758</v>
      </c>
      <c r="B10" s="254"/>
      <c r="C10" s="170" t="s">
        <v>765</v>
      </c>
      <c r="D10" s="171" t="s">
        <v>132</v>
      </c>
      <c r="E10" s="172">
        <f>4.44*E8</f>
        <v>440.89200000000005</v>
      </c>
      <c r="F10" s="173">
        <v>1200</v>
      </c>
      <c r="G10" s="128">
        <f t="shared" si="1"/>
        <v>529070.4</v>
      </c>
      <c r="H10" s="174"/>
      <c r="I10" s="174"/>
      <c r="J10" s="174"/>
      <c r="K10" s="125">
        <f t="shared" ref="K10:K11" si="2">I10+G10</f>
        <v>529070.4</v>
      </c>
    </row>
    <row r="11" spans="1:11" x14ac:dyDescent="0.3">
      <c r="A11" s="254" t="s">
        <v>762</v>
      </c>
      <c r="B11" s="254"/>
      <c r="C11" s="170" t="s">
        <v>763</v>
      </c>
      <c r="D11" s="118" t="s">
        <v>76</v>
      </c>
      <c r="E11" s="172">
        <v>23</v>
      </c>
      <c r="F11" s="173">
        <v>9000</v>
      </c>
      <c r="G11" s="128">
        <f t="shared" si="1"/>
        <v>207000</v>
      </c>
      <c r="H11" s="174"/>
      <c r="I11" s="174"/>
      <c r="J11" s="174"/>
      <c r="K11" s="125">
        <f t="shared" si="2"/>
        <v>207000</v>
      </c>
    </row>
    <row r="12" spans="1:11" s="13" customFormat="1" ht="19.5" customHeight="1" x14ac:dyDescent="0.3">
      <c r="A12" s="234" t="s">
        <v>550</v>
      </c>
      <c r="B12" s="235"/>
      <c r="C12" s="17" t="s">
        <v>710</v>
      </c>
      <c r="D12" s="118" t="s">
        <v>76</v>
      </c>
      <c r="E12" s="175">
        <v>36</v>
      </c>
      <c r="F12" s="176">
        <v>8300</v>
      </c>
      <c r="G12" s="128">
        <f>F12*E12</f>
        <v>298800</v>
      </c>
      <c r="H12" s="127">
        <v>13907</v>
      </c>
      <c r="I12" s="125">
        <f>H12*E12</f>
        <v>500652</v>
      </c>
      <c r="J12" s="127"/>
      <c r="K12" s="125">
        <f>I12+G12</f>
        <v>799452</v>
      </c>
    </row>
    <row r="13" spans="1:11" x14ac:dyDescent="0.3">
      <c r="A13" s="254" t="s">
        <v>167</v>
      </c>
      <c r="B13" s="254" t="s">
        <v>759</v>
      </c>
      <c r="C13" s="170"/>
      <c r="D13" s="177" t="s">
        <v>3</v>
      </c>
      <c r="E13" s="172">
        <v>35</v>
      </c>
      <c r="F13" s="173"/>
      <c r="G13" s="174"/>
      <c r="H13" s="174">
        <f>'  2025 하반기'!C13</f>
        <v>237754</v>
      </c>
      <c r="I13" s="125">
        <f t="shared" ref="I13:I18" si="3">H13*E13</f>
        <v>8321390</v>
      </c>
      <c r="J13" s="174"/>
      <c r="K13" s="125">
        <f t="shared" ref="K13:K18" si="4">I13+G13</f>
        <v>8321390</v>
      </c>
    </row>
    <row r="14" spans="1:11" x14ac:dyDescent="0.3">
      <c r="A14" s="254" t="s">
        <v>4</v>
      </c>
      <c r="B14" s="254" t="s">
        <v>760</v>
      </c>
      <c r="C14" s="170"/>
      <c r="D14" s="178" t="s">
        <v>3</v>
      </c>
      <c r="E14" s="172">
        <f>0.091*E8</f>
        <v>9.0362999999999989</v>
      </c>
      <c r="F14" s="173"/>
      <c r="G14" s="174"/>
      <c r="H14" s="174">
        <f>'  2025 하반기'!C8</f>
        <v>171037</v>
      </c>
      <c r="I14" s="125">
        <f t="shared" si="3"/>
        <v>1545541.6430999998</v>
      </c>
      <c r="J14" s="174"/>
      <c r="K14" s="125">
        <f t="shared" si="4"/>
        <v>1545541.6430999998</v>
      </c>
    </row>
    <row r="15" spans="1:11" x14ac:dyDescent="0.3">
      <c r="A15" s="254" t="s">
        <v>35</v>
      </c>
      <c r="B15" s="254" t="s">
        <v>35</v>
      </c>
      <c r="C15" s="170"/>
      <c r="D15" s="178" t="s">
        <v>3</v>
      </c>
      <c r="E15" s="172">
        <v>23</v>
      </c>
      <c r="F15" s="173"/>
      <c r="G15" s="174"/>
      <c r="H15" s="174">
        <f>'  2025 하반기'!C14</f>
        <v>280178</v>
      </c>
      <c r="I15" s="125">
        <f t="shared" si="3"/>
        <v>6444094</v>
      </c>
      <c r="J15" s="174"/>
      <c r="K15" s="125">
        <f t="shared" si="4"/>
        <v>6444094</v>
      </c>
    </row>
    <row r="16" spans="1:11" x14ac:dyDescent="0.3">
      <c r="A16" s="254" t="s">
        <v>732</v>
      </c>
      <c r="B16" s="254" t="s">
        <v>35</v>
      </c>
      <c r="C16" s="170"/>
      <c r="D16" s="178" t="s">
        <v>718</v>
      </c>
      <c r="E16" s="172">
        <f>0.037*E8</f>
        <v>3.6740999999999997</v>
      </c>
      <c r="F16" s="173"/>
      <c r="G16" s="174"/>
      <c r="H16" s="174">
        <f>'  2025 하반기'!C19</f>
        <v>250389</v>
      </c>
      <c r="I16" s="125">
        <f t="shared" si="3"/>
        <v>919954.22489999991</v>
      </c>
      <c r="J16" s="174"/>
      <c r="K16" s="125">
        <f t="shared" si="4"/>
        <v>919954.22489999991</v>
      </c>
    </row>
    <row r="17" spans="1:11" s="114" customFormat="1" ht="19.5" customHeight="1" x14ac:dyDescent="0.3">
      <c r="A17" s="235" t="s">
        <v>18</v>
      </c>
      <c r="B17" s="235"/>
      <c r="C17" s="123"/>
      <c r="D17" s="124" t="s">
        <v>3</v>
      </c>
      <c r="E17" s="119">
        <v>22</v>
      </c>
      <c r="F17" s="120"/>
      <c r="G17" s="121"/>
      <c r="H17" s="120">
        <f>'  2025 하반기'!C24</f>
        <v>255231</v>
      </c>
      <c r="I17" s="121">
        <f>H17*E17</f>
        <v>5615082</v>
      </c>
      <c r="J17" s="120"/>
      <c r="K17" s="121">
        <f>I17</f>
        <v>5615082</v>
      </c>
    </row>
    <row r="18" spans="1:11" s="114" customFormat="1" ht="19.5" customHeight="1" x14ac:dyDescent="0.3">
      <c r="A18" s="234" t="s">
        <v>129</v>
      </c>
      <c r="B18" s="235"/>
      <c r="C18" s="17" t="s">
        <v>17</v>
      </c>
      <c r="D18" s="15" t="s">
        <v>3</v>
      </c>
      <c r="E18" s="130">
        <f>0.121*E8</f>
        <v>12.0153</v>
      </c>
      <c r="F18" s="131" t="s">
        <v>17</v>
      </c>
      <c r="G18" s="128"/>
      <c r="H18" s="127">
        <f>'  2025 하반기'!C23</f>
        <v>258362</v>
      </c>
      <c r="I18" s="125">
        <f t="shared" si="3"/>
        <v>3104296.9386</v>
      </c>
      <c r="J18" s="127"/>
      <c r="K18" s="125">
        <f t="shared" si="4"/>
        <v>3104296.9386</v>
      </c>
    </row>
    <row r="19" spans="1:11" x14ac:dyDescent="0.3">
      <c r="A19" s="255" t="s">
        <v>6</v>
      </c>
      <c r="B19" s="255"/>
      <c r="C19" s="170"/>
      <c r="D19" s="179"/>
      <c r="E19" s="180"/>
      <c r="F19" s="173"/>
      <c r="G19" s="174">
        <f>SUM(G9:G18)</f>
        <v>2622081.6</v>
      </c>
      <c r="H19" s="174"/>
      <c r="I19" s="174">
        <f>SUM(I9:I18)</f>
        <v>26451010.806600001</v>
      </c>
      <c r="J19" s="174" t="s">
        <v>17</v>
      </c>
      <c r="K19" s="174">
        <f>SUM(K9:K18)</f>
        <v>29073092.406599998</v>
      </c>
    </row>
    <row r="20" spans="1:11" s="13" customFormat="1" ht="19.5" customHeight="1" x14ac:dyDescent="0.3">
      <c r="A20" s="254"/>
      <c r="B20" s="254"/>
      <c r="C20" s="170"/>
      <c r="D20" s="171"/>
      <c r="E20" s="181"/>
      <c r="F20" s="173"/>
      <c r="G20" s="174"/>
      <c r="H20" s="174"/>
      <c r="I20" s="174"/>
      <c r="J20" s="174"/>
      <c r="K20" s="174"/>
    </row>
    <row r="21" spans="1:11" x14ac:dyDescent="0.3">
      <c r="A21" s="254"/>
      <c r="B21" s="254"/>
      <c r="C21" s="170"/>
      <c r="D21" s="171"/>
      <c r="E21" s="181"/>
      <c r="F21" s="173"/>
      <c r="G21" s="174"/>
      <c r="H21" s="174"/>
      <c r="I21" s="174"/>
      <c r="J21" s="174"/>
      <c r="K21" s="182"/>
    </row>
    <row r="22" spans="1:11" x14ac:dyDescent="0.3">
      <c r="A22" s="254"/>
      <c r="B22" s="254"/>
      <c r="C22" s="170"/>
      <c r="D22" s="177"/>
      <c r="E22" s="181"/>
      <c r="F22" s="173"/>
      <c r="G22" s="174"/>
      <c r="H22" s="174"/>
      <c r="I22" s="174"/>
      <c r="J22" s="174"/>
      <c r="K22" s="182"/>
    </row>
    <row r="23" spans="1:11" x14ac:dyDescent="0.3">
      <c r="A23" s="254"/>
      <c r="B23" s="254"/>
      <c r="C23" s="170"/>
      <c r="D23" s="178"/>
      <c r="E23" s="181"/>
      <c r="F23" s="173"/>
      <c r="G23" s="174"/>
      <c r="H23" s="174"/>
      <c r="I23" s="174"/>
      <c r="J23" s="174"/>
      <c r="K23" s="182"/>
    </row>
    <row r="24" spans="1:11" x14ac:dyDescent="0.3">
      <c r="A24" s="254"/>
      <c r="B24" s="254"/>
      <c r="C24" s="170"/>
      <c r="D24" s="178"/>
      <c r="E24" s="181"/>
      <c r="F24" s="173"/>
      <c r="G24" s="174"/>
      <c r="H24" s="174"/>
      <c r="I24" s="174"/>
      <c r="J24" s="174"/>
      <c r="K24" s="182"/>
    </row>
    <row r="25" spans="1:11" x14ac:dyDescent="0.3">
      <c r="A25" s="254"/>
      <c r="B25" s="254"/>
      <c r="C25" s="170"/>
      <c r="D25" s="178"/>
      <c r="E25" s="181"/>
      <c r="F25" s="183"/>
      <c r="G25" s="174"/>
      <c r="H25" s="174"/>
      <c r="I25" s="174"/>
      <c r="J25" s="174"/>
      <c r="K25" s="182"/>
    </row>
    <row r="26" spans="1:11" x14ac:dyDescent="0.3">
      <c r="A26" s="254"/>
      <c r="B26" s="254"/>
      <c r="C26" s="170"/>
      <c r="D26" s="171"/>
      <c r="E26" s="184"/>
      <c r="F26" s="173"/>
      <c r="G26" s="174"/>
      <c r="H26" s="174"/>
      <c r="I26" s="174"/>
      <c r="J26" s="174"/>
      <c r="K26" s="182"/>
    </row>
    <row r="27" spans="1:11" x14ac:dyDescent="0.3">
      <c r="A27" s="255"/>
      <c r="B27" s="255"/>
      <c r="C27" s="170"/>
      <c r="D27" s="179"/>
      <c r="E27" s="180"/>
      <c r="F27" s="173"/>
      <c r="G27" s="174"/>
      <c r="H27" s="174"/>
      <c r="I27" s="174"/>
      <c r="J27" s="174"/>
      <c r="K27" s="182"/>
    </row>
    <row r="28" spans="1:11" x14ac:dyDescent="0.3">
      <c r="A28" s="256"/>
      <c r="B28" s="256"/>
      <c r="C28" s="170"/>
      <c r="D28" s="179"/>
      <c r="E28" s="180"/>
      <c r="F28" s="173"/>
      <c r="G28" s="174"/>
      <c r="H28" s="174"/>
      <c r="I28" s="174"/>
      <c r="J28" s="174"/>
      <c r="K28" s="182"/>
    </row>
    <row r="29" spans="1:11" x14ac:dyDescent="0.3">
      <c r="A29" s="231" t="s">
        <v>12</v>
      </c>
      <c r="B29" s="231"/>
      <c r="C29" s="125"/>
      <c r="D29" s="126"/>
      <c r="E29" s="135"/>
      <c r="F29" s="127"/>
      <c r="G29" s="128">
        <f>G19+G7</f>
        <v>2622081.6</v>
      </c>
      <c r="H29" s="128"/>
      <c r="I29" s="128">
        <f t="shared" ref="I29:K29" si="5">I19+I7</f>
        <v>29158976.806600001</v>
      </c>
      <c r="J29" s="128"/>
      <c r="K29" s="128">
        <f t="shared" si="5"/>
        <v>31781058.406599998</v>
      </c>
    </row>
  </sheetData>
  <mergeCells count="34">
    <mergeCell ref="F1:I1"/>
    <mergeCell ref="A2:B3"/>
    <mergeCell ref="C2:C3"/>
    <mergeCell ref="D2:D3"/>
    <mergeCell ref="E2:E3"/>
    <mergeCell ref="F2:G2"/>
    <mergeCell ref="H2:I2"/>
    <mergeCell ref="J2:K2"/>
    <mergeCell ref="A4:B4"/>
    <mergeCell ref="A5:B5"/>
    <mergeCell ref="A6:B6"/>
    <mergeCell ref="A7:B7"/>
    <mergeCell ref="A21:B21"/>
    <mergeCell ref="A22:B22"/>
    <mergeCell ref="A23:B23"/>
    <mergeCell ref="A11:B11"/>
    <mergeCell ref="A12:B12"/>
    <mergeCell ref="A19:B19"/>
    <mergeCell ref="A8:C8"/>
    <mergeCell ref="A17:B17"/>
    <mergeCell ref="A29:B29"/>
    <mergeCell ref="A9:B9"/>
    <mergeCell ref="A10:B10"/>
    <mergeCell ref="A13:B13"/>
    <mergeCell ref="A14:B14"/>
    <mergeCell ref="A15:B15"/>
    <mergeCell ref="A24:B24"/>
    <mergeCell ref="A25:B25"/>
    <mergeCell ref="A26:B26"/>
    <mergeCell ref="A27:B27"/>
    <mergeCell ref="A28:B28"/>
    <mergeCell ref="A16:B16"/>
    <mergeCell ref="A18:B18"/>
    <mergeCell ref="A20:B20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21</vt:i4>
      </vt:variant>
      <vt:variant>
        <vt:lpstr>이름 지정된 범위</vt:lpstr>
      </vt:variant>
      <vt:variant>
        <vt:i4>23</vt:i4>
      </vt:variant>
    </vt:vector>
  </HeadingPairs>
  <TitlesOfParts>
    <vt:vector size="44" baseType="lpstr">
      <vt:lpstr>표지</vt:lpstr>
      <vt:lpstr>원가계산서</vt:lpstr>
      <vt:lpstr>공종별 집계표</vt:lpstr>
      <vt:lpstr>안내데스크</vt:lpstr>
      <vt:lpstr>교육 체험공간</vt:lpstr>
      <vt:lpstr>로비 휴게공간</vt:lpstr>
      <vt:lpstr>입구 주먹도끼 단독장</vt:lpstr>
      <vt:lpstr>뼈와 도구의 연대기</vt:lpstr>
      <vt:lpstr>인류 진화의 위대한 행진</vt:lpstr>
      <vt:lpstr>전곡리 발굴현장</vt:lpstr>
      <vt:lpstr>전곡리 발굴사 및 토층</vt:lpstr>
      <vt:lpstr>전곡리 발굴사 </vt:lpstr>
      <vt:lpstr>토층 앞 주먹도끼장</vt:lpstr>
      <vt:lpstr>한탄 임진강 유역의 구석기</vt:lpstr>
      <vt:lpstr>우리나라의 구석기</vt:lpstr>
      <vt:lpstr>바닥 매장유구</vt:lpstr>
      <vt:lpstr>구석기시대의 예술</vt:lpstr>
      <vt:lpstr>홀로그램 전시대</vt:lpstr>
      <vt:lpstr>  2025 하반기</vt:lpstr>
      <vt:lpstr>일위대가</vt:lpstr>
      <vt:lpstr>단가대비표</vt:lpstr>
      <vt:lpstr>'  2025 하반기'!Print_Area</vt:lpstr>
      <vt:lpstr>'공종별 집계표'!Print_Area</vt:lpstr>
      <vt:lpstr>'교육 체험공간'!Print_Area</vt:lpstr>
      <vt:lpstr>'구석기시대의 예술'!Print_Area</vt:lpstr>
      <vt:lpstr>단가대비표!Print_Area</vt:lpstr>
      <vt:lpstr>'로비 휴게공간'!Print_Area</vt:lpstr>
      <vt:lpstr>'바닥 매장유구'!Print_Area</vt:lpstr>
      <vt:lpstr>'뼈와 도구의 연대기'!Print_Area</vt:lpstr>
      <vt:lpstr>안내데스크!Print_Area</vt:lpstr>
      <vt:lpstr>'우리나라의 구석기'!Print_Area</vt:lpstr>
      <vt:lpstr>원가계산서!Print_Area</vt:lpstr>
      <vt:lpstr>'인류 진화의 위대한 행진'!Print_Area</vt:lpstr>
      <vt:lpstr>일위대가!Print_Area</vt:lpstr>
      <vt:lpstr>'입구 주먹도끼 단독장'!Print_Area</vt:lpstr>
      <vt:lpstr>'전곡리 발굴사 '!Print_Area</vt:lpstr>
      <vt:lpstr>'전곡리 발굴사 및 토층'!Print_Area</vt:lpstr>
      <vt:lpstr>'전곡리 발굴현장'!Print_Area</vt:lpstr>
      <vt:lpstr>'토층 앞 주먹도끼장'!Print_Area</vt:lpstr>
      <vt:lpstr>'한탄 임진강 유역의 구석기'!Print_Area</vt:lpstr>
      <vt:lpstr>'홀로그램 전시대'!Print_Area</vt:lpstr>
      <vt:lpstr>'  2025 하반기'!Print_Titles</vt:lpstr>
      <vt:lpstr>단가대비표!Print_Titles</vt:lpstr>
      <vt:lpstr>일위대가!Print_Titles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 il park</dc:creator>
  <cp:lastModifiedBy>이서영</cp:lastModifiedBy>
  <cp:lastPrinted>2025-08-19T03:54:37Z</cp:lastPrinted>
  <dcterms:created xsi:type="dcterms:W3CDTF">2024-07-17T01:51:47Z</dcterms:created>
  <dcterms:modified xsi:type="dcterms:W3CDTF">2025-12-23T05:40:09Z</dcterms:modified>
</cp:coreProperties>
</file>