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김지은\★ 외장하드_김지은 선생님 (인수인계 자료)\1. 2026년 계약\경영지원팀\0225 경기문화재단 ESG 시설환경 개선 공사(입찰)\1. 계약의뢰\download\"/>
    </mc:Choice>
  </mc:AlternateContent>
  <xr:revisionPtr revIDLastSave="0" documentId="13_ncr:1_{A3FEC513-A863-436C-B2D0-6FC0D20EB0B1}" xr6:coauthVersionLast="47" xr6:coauthVersionMax="47" xr10:uidLastSave="{00000000-0000-0000-0000-000000000000}"/>
  <bookViews>
    <workbookView xWindow="28680" yWindow="-120" windowWidth="29040" windowHeight="15720" xr2:uid="{54BC6661-A89E-49EE-94F1-7D37C1CCBE28}"/>
  </bookViews>
  <sheets>
    <sheet name="〓 목 차 〓" sheetId="1" r:id="rId1"/>
    <sheet name="※※안내※※" sheetId="2" r:id="rId2"/>
    <sheet name="공사원가계산서" sheetId="3" r:id="rId3"/>
    <sheet name="총괄내역서" sheetId="4" r:id="rId4"/>
    <sheet name="설계내역서" sheetId="5" r:id="rId5"/>
    <sheet name="〓 INITIAL 〓" sheetId="18" state="veryHidden" r:id="rId6"/>
  </sheets>
  <definedNames>
    <definedName name="_xlnm.Print_Area" localSheetId="0">'〓 목 차 〓'!$A:$C</definedName>
    <definedName name="_xlnm.Print_Area" localSheetId="2">공사원가계산서!$A:$F</definedName>
    <definedName name="_xlnm.Print_Area" localSheetId="4">설계내역서!$A:$N</definedName>
    <definedName name="_xlnm.Print_Area" localSheetId="3">총괄내역서!$A:$G</definedName>
    <definedName name="_xlnm.Print_Titles" localSheetId="2">공사원가계산서!$1:$4</definedName>
    <definedName name="_xlnm.Print_Titles" localSheetId="4">설계내역서!$1:$4</definedName>
    <definedName name="_xlnm.Print_Titles" localSheetId="3">총괄내역서!$1:$3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D4" i="18"/>
  <c r="D6" i="18"/>
  <c r="C6" i="18" s="1"/>
  <c r="D7" i="18"/>
  <c r="C7" i="18" s="1"/>
  <c r="D8" i="18"/>
  <c r="C8" i="18" s="1"/>
  <c r="D9" i="18"/>
  <c r="C9" i="18" s="1"/>
  <c r="D10" i="18"/>
  <c r="C10" i="18" s="1"/>
  <c r="D11" i="18"/>
  <c r="C11" i="18" s="1"/>
  <c r="D13" i="18"/>
  <c r="C13" i="18" s="1"/>
  <c r="D14" i="18"/>
  <c r="C14" i="18" s="1"/>
  <c r="D15" i="18"/>
  <c r="C15" i="18" s="1"/>
  <c r="D16" i="18"/>
  <c r="C16" i="18" s="1"/>
  <c r="D17" i="18"/>
  <c r="C17" i="18" s="1"/>
  <c r="D18" i="18"/>
  <c r="C18" i="18" s="1"/>
  <c r="D19" i="18"/>
  <c r="C19" i="18" s="1"/>
  <c r="D20" i="18"/>
  <c r="C20" i="18" s="1"/>
  <c r="D24" i="18"/>
  <c r="D33" i="18"/>
  <c r="C35" i="18"/>
  <c r="D35" i="18"/>
  <c r="E35" i="18"/>
  <c r="F35" i="18"/>
  <c r="G35" i="18"/>
  <c r="H35" i="18"/>
  <c r="I35" i="18"/>
  <c r="J35" i="18"/>
  <c r="D52" i="18"/>
  <c r="D75" i="18"/>
  <c r="D4" i="1"/>
  <c r="A2" i="2"/>
  <c r="G2" i="3"/>
  <c r="D5" i="1" s="1"/>
  <c r="H4" i="3"/>
  <c r="F24" i="3"/>
  <c r="F25" i="3"/>
  <c r="D26" i="3"/>
  <c r="F28" i="3"/>
  <c r="O2" i="5"/>
  <c r="Q4" i="4" s="1"/>
  <c r="AC4" i="5"/>
  <c r="H2" i="4"/>
  <c r="Q3" i="4"/>
  <c r="E12" i="4"/>
  <c r="F10" i="3" s="1"/>
  <c r="E13" i="4"/>
  <c r="F13" i="3" s="1"/>
  <c r="E14" i="4"/>
  <c r="F14" i="3" s="1"/>
  <c r="E15" i="4"/>
  <c r="F15" i="3" s="1"/>
  <c r="E16" i="4"/>
  <c r="F16" i="3" s="1"/>
  <c r="E17" i="4"/>
  <c r="F17" i="3" s="1"/>
  <c r="E18" i="4"/>
  <c r="F18" i="3" s="1"/>
  <c r="E20" i="4"/>
  <c r="F20" i="3" s="1"/>
  <c r="E21" i="4"/>
  <c r="F21" i="3" s="1"/>
  <c r="E22" i="4"/>
  <c r="F22" i="3" s="1"/>
  <c r="E24" i="4"/>
  <c r="J27" i="4"/>
  <c r="L27" i="4"/>
  <c r="E29" i="4"/>
  <c r="D31" i="4"/>
  <c r="D30" i="3" s="1"/>
  <c r="F30" i="3"/>
  <c r="J31" i="4"/>
  <c r="L31" i="4"/>
  <c r="Q10" i="4" l="1"/>
  <c r="Q11" i="4"/>
  <c r="Q6" i="4"/>
  <c r="Q7" i="4"/>
  <c r="Q5" i="4"/>
  <c r="Q9" i="4"/>
  <c r="Q8" i="4"/>
  <c r="F9" i="4"/>
  <c r="G15" i="18"/>
  <c r="Q15" i="18"/>
  <c r="W15" i="18"/>
  <c r="K15" i="18"/>
  <c r="N20" i="18"/>
  <c r="F20" i="18"/>
  <c r="L20" i="18"/>
  <c r="R20" i="18"/>
  <c r="G14" i="18"/>
  <c r="K14" i="18"/>
  <c r="G13" i="18"/>
  <c r="K13" i="18"/>
  <c r="G11" i="18"/>
  <c r="K11" i="18"/>
  <c r="H26" i="3"/>
  <c r="B17" i="2"/>
  <c r="H12" i="3"/>
  <c r="H15" i="3"/>
  <c r="H18" i="3"/>
  <c r="H21" i="3"/>
  <c r="H28" i="3"/>
  <c r="D6" i="1"/>
  <c r="B18" i="2"/>
  <c r="H10" i="3"/>
  <c r="H30" i="3"/>
  <c r="H5" i="3"/>
  <c r="H14" i="3"/>
  <c r="H17" i="3"/>
  <c r="H20" i="3"/>
  <c r="H25" i="3"/>
  <c r="H27" i="3"/>
  <c r="H9" i="3"/>
  <c r="H29" i="3"/>
  <c r="H31" i="3"/>
  <c r="H13" i="3"/>
  <c r="H16" i="3"/>
  <c r="H19" i="3"/>
  <c r="H22" i="3"/>
  <c r="H24" i="3"/>
  <c r="G7" i="4"/>
  <c r="G10" i="4"/>
  <c r="E10" i="4"/>
  <c r="G9" i="4"/>
  <c r="F10" i="4"/>
  <c r="I19" i="18"/>
  <c r="O19" i="18"/>
  <c r="J19" i="18"/>
  <c r="P19" i="18"/>
  <c r="K19" i="18"/>
  <c r="Q19" i="18"/>
  <c r="F19" i="18"/>
  <c r="L19" i="18"/>
  <c r="R19" i="18"/>
  <c r="G19" i="18"/>
  <c r="M19" i="18"/>
  <c r="S19" i="18"/>
  <c r="H19" i="18"/>
  <c r="N19" i="18"/>
  <c r="X19" i="18"/>
  <c r="K10" i="18"/>
  <c r="E10" i="18"/>
  <c r="L10" i="18"/>
  <c r="F10" i="18"/>
  <c r="X10" i="18"/>
  <c r="G10" i="18"/>
  <c r="I10" i="18"/>
  <c r="J10" i="18"/>
  <c r="H18" i="18"/>
  <c r="N18" i="18"/>
  <c r="X18" i="18"/>
  <c r="I18" i="18"/>
  <c r="O18" i="18"/>
  <c r="J18" i="18"/>
  <c r="P18" i="18"/>
  <c r="K18" i="18"/>
  <c r="Q18" i="18"/>
  <c r="F18" i="18"/>
  <c r="L18" i="18"/>
  <c r="R18" i="18"/>
  <c r="G18" i="18"/>
  <c r="M18" i="18"/>
  <c r="S18" i="18"/>
  <c r="L9" i="18"/>
  <c r="F9" i="18"/>
  <c r="N9" i="18"/>
  <c r="G9" i="18"/>
  <c r="P9" i="18"/>
  <c r="I9" i="18"/>
  <c r="R9" i="18"/>
  <c r="J9" i="18"/>
  <c r="X9" i="18"/>
  <c r="K9" i="18"/>
  <c r="K17" i="18"/>
  <c r="Q17" i="18"/>
  <c r="E17" i="18"/>
  <c r="L17" i="18"/>
  <c r="X17" i="18"/>
  <c r="F17" i="18"/>
  <c r="M17" i="18"/>
  <c r="G17" i="18"/>
  <c r="N17" i="18"/>
  <c r="I17" i="18"/>
  <c r="O17" i="18"/>
  <c r="J17" i="18"/>
  <c r="P17" i="18"/>
  <c r="I8" i="18"/>
  <c r="J8" i="18"/>
  <c r="K8" i="18"/>
  <c r="L8" i="18"/>
  <c r="F8" i="18"/>
  <c r="X8" i="18"/>
  <c r="G8" i="18"/>
  <c r="B16" i="2"/>
  <c r="D7" i="1"/>
  <c r="J16" i="18"/>
  <c r="P16" i="18"/>
  <c r="E16" i="18"/>
  <c r="K16" i="18"/>
  <c r="Q16" i="18"/>
  <c r="F16" i="18"/>
  <c r="L16" i="18"/>
  <c r="R16" i="18"/>
  <c r="G16" i="18"/>
  <c r="M16" i="18"/>
  <c r="S16" i="18"/>
  <c r="H16" i="18"/>
  <c r="N16" i="18"/>
  <c r="X16" i="18"/>
  <c r="I16" i="18"/>
  <c r="O16" i="18"/>
  <c r="L7" i="18"/>
  <c r="F7" i="18"/>
  <c r="X7" i="18"/>
  <c r="G7" i="18"/>
  <c r="I7" i="18"/>
  <c r="J7" i="18"/>
  <c r="K7" i="18"/>
  <c r="I6" i="18"/>
  <c r="J6" i="18"/>
  <c r="K6" i="18"/>
  <c r="L6" i="18"/>
  <c r="F6" i="18"/>
  <c r="X6" i="18"/>
  <c r="G6" i="18"/>
  <c r="B12" i="2"/>
  <c r="K20" i="18"/>
  <c r="S15" i="18"/>
  <c r="M15" i="18"/>
  <c r="F15" i="18"/>
  <c r="N14" i="18"/>
  <c r="F14" i="18"/>
  <c r="N13" i="18"/>
  <c r="F13" i="18"/>
  <c r="N11" i="18"/>
  <c r="F11" i="18"/>
  <c r="X20" i="18"/>
  <c r="J20" i="18"/>
  <c r="X15" i="18"/>
  <c r="R15" i="18"/>
  <c r="L15" i="18"/>
  <c r="L14" i="18"/>
  <c r="L13" i="18"/>
  <c r="L11" i="18"/>
  <c r="P20" i="18"/>
  <c r="E20" i="18"/>
  <c r="V15" i="18"/>
  <c r="P15" i="18"/>
  <c r="J15" i="18"/>
  <c r="X14" i="18"/>
  <c r="J14" i="18"/>
  <c r="X13" i="18"/>
  <c r="J13" i="18"/>
  <c r="X11" i="18"/>
  <c r="J11" i="18"/>
  <c r="U15" i="18"/>
  <c r="O15" i="18"/>
  <c r="I15" i="18"/>
  <c r="R14" i="18"/>
  <c r="I14" i="18"/>
  <c r="R13" i="18"/>
  <c r="I13" i="18"/>
  <c r="R11" i="18"/>
  <c r="I11" i="18"/>
  <c r="T15" i="18"/>
  <c r="N15" i="18"/>
  <c r="P14" i="18"/>
  <c r="P13" i="18"/>
  <c r="P11" i="18"/>
  <c r="C4" i="18" l="1"/>
  <c r="D1" i="1" s="1"/>
  <c r="D9" i="4"/>
  <c r="G8" i="4"/>
  <c r="D10" i="4"/>
  <c r="E9" i="4" l="1"/>
  <c r="F7" i="4" l="1"/>
  <c r="F6" i="4" l="1"/>
  <c r="G5" i="4" l="1"/>
  <c r="F5" i="4"/>
  <c r="D7" i="4"/>
  <c r="E7" i="4"/>
  <c r="E8" i="4" l="1"/>
  <c r="D8" i="4"/>
  <c r="F8" i="4" l="1"/>
  <c r="F11" i="4" l="1"/>
  <c r="F4" i="4"/>
  <c r="D9" i="3" l="1"/>
  <c r="D15" i="4"/>
  <c r="J15" i="4"/>
  <c r="J17" i="4"/>
  <c r="D18" i="4"/>
  <c r="D18" i="3" s="1"/>
  <c r="J18" i="4"/>
  <c r="D12" i="4"/>
  <c r="D10" i="3" s="1"/>
  <c r="D17" i="4"/>
  <c r="D17" i="3" s="1"/>
  <c r="E6" i="4"/>
  <c r="D13" i="4" l="1"/>
  <c r="D13" i="3" s="1"/>
  <c r="D14" i="4"/>
  <c r="D14" i="3" s="1"/>
  <c r="D5" i="4"/>
  <c r="D15" i="3"/>
  <c r="D16" i="4"/>
  <c r="D16" i="3" s="1"/>
  <c r="J16" i="4"/>
  <c r="D11" i="3"/>
  <c r="D6" i="4"/>
  <c r="E5" i="4"/>
  <c r="G6" i="4" l="1"/>
  <c r="E11" i="4"/>
  <c r="E4" i="4"/>
  <c r="D5" i="3" l="1"/>
  <c r="J19" i="4"/>
  <c r="D19" i="4"/>
  <c r="D20" i="4"/>
  <c r="D20" i="3" s="1"/>
  <c r="G11" i="4"/>
  <c r="D12" i="3" s="1"/>
  <c r="G4" i="4"/>
  <c r="D11" i="4"/>
  <c r="D4" i="4"/>
  <c r="D19" i="3" l="1"/>
  <c r="E19" i="4"/>
  <c r="F19" i="3" s="1"/>
  <c r="D22" i="4"/>
  <c r="D22" i="3" s="1"/>
  <c r="D21" i="4"/>
  <c r="D21" i="3" s="1"/>
  <c r="D8" i="3"/>
  <c r="D23" i="3" l="1"/>
  <c r="D23" i="4"/>
  <c r="D24" i="4" l="1"/>
  <c r="D24" i="3" s="1"/>
  <c r="D25" i="4" l="1"/>
  <c r="J25" i="4" l="1"/>
  <c r="L25" i="4"/>
  <c r="J26" i="4" l="1"/>
  <c r="E26" i="4" s="1"/>
  <c r="J28" i="4" l="1"/>
  <c r="J29" i="4" l="1"/>
  <c r="J30" i="4" s="1"/>
  <c r="J32" i="4" s="1"/>
  <c r="I26" i="4" s="1"/>
  <c r="L26" i="4" l="1"/>
  <c r="L28" i="4" s="1"/>
  <c r="L29" i="4" l="1"/>
  <c r="L30" i="4" s="1"/>
  <c r="L32" i="4" s="1"/>
  <c r="K26" i="4" s="1"/>
  <c r="D26" i="4" s="1"/>
  <c r="D25" i="3" l="1"/>
  <c r="D28" i="4"/>
  <c r="D27" i="3" l="1"/>
  <c r="D29" i="4"/>
  <c r="D28" i="3" s="1"/>
  <c r="D30" i="4" l="1"/>
  <c r="D29" i="3" l="1"/>
  <c r="D32" i="4"/>
  <c r="D31" i="3" s="1"/>
  <c r="E6" i="3" l="1"/>
  <c r="E7" i="3"/>
  <c r="E30" i="3"/>
  <c r="E26" i="3"/>
  <c r="E14" i="3"/>
  <c r="E13" i="3"/>
  <c r="E9" i="3"/>
  <c r="E10" i="3"/>
  <c r="E18" i="3"/>
  <c r="E17" i="3"/>
  <c r="E16" i="3"/>
  <c r="E11" i="3"/>
  <c r="E15" i="3"/>
  <c r="E12" i="3"/>
  <c r="E20" i="3"/>
  <c r="E5" i="3"/>
  <c r="E23" i="3"/>
  <c r="E21" i="3"/>
  <c r="E22" i="3"/>
  <c r="E19" i="3"/>
  <c r="E8" i="3"/>
  <c r="E24" i="3"/>
  <c r="E25" i="3"/>
  <c r="E28" i="3"/>
  <c r="E27" i="3"/>
  <c r="E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6396B3DB-5C72-4379-874D-8B8B8A152314}">
      <text>
        <r>
          <rPr>
            <sz val="9"/>
            <color theme="1"/>
            <rFont val="굴림체"/>
            <family val="3"/>
            <charset val="129"/>
          </rPr>
          <t>해당 페이지 이동은 아래의 HyperLink(→) 셀을 클릭하세요!!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6702A574-F63C-4433-9D70-626BBC41A9D6}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B8" authorId="0" shapeId="0" xr:uid="{CC6C6BBD-D977-4136-9770-644096E21FBE}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4" authorId="0" shapeId="0" xr:uid="{D04C21BD-ADAF-44C8-BB91-CDE1AA7A3F8C}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EBF3F79F-3061-45FD-9F5D-E316FEE907A8}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Q3" authorId="0" shapeId="0" xr:uid="{A6B44A16-592D-4639-855C-C347135CEF00}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I26" authorId="0" shapeId="0" xr:uid="{0851CBBC-D482-4B33-84E2-565D0443294A}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K26" authorId="0" shapeId="0" xr:uid="{03C921D3-6123-454C-BB6B-257E7455354F}">
      <text>
        <r>
          <rPr>
            <sz val="9"/>
            <color theme="1"/>
            <rFont val="굴림체"/>
            <family val="3"/>
            <charset val="129"/>
          </rPr>
          <t>I열의 이윤보정시
 1. K열의 계삭식 삭제
 2. I열의 값 조정(±α)</t>
        </r>
      </text>
    </comment>
    <comment ref="I29" authorId="0" shapeId="0" xr:uid="{E6D21A7A-A9A2-4A2E-B589-6BB91846FBF8}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I31" authorId="0" shapeId="0" xr:uid="{3184A1E1-9241-453A-8BB7-FC6B3567C515}">
      <text>
        <r>
          <rPr>
            <sz val="9"/>
            <color theme="1"/>
            <rFont val="굴림체"/>
            <family val="3"/>
            <charset val="129"/>
          </rPr>
          <t>관급자재대(관급자설치) : 원자재대 금액을 입력하세요.</t>
        </r>
      </text>
    </comment>
    <comment ref="D32" authorId="0" shapeId="0" xr:uid="{77AEC2B2-CB33-4921-B522-CFA88F6A3A78}">
      <text>
        <r>
          <rPr>
            <sz val="9"/>
            <color theme="1"/>
            <rFont val="굴림체"/>
            <family val="3"/>
            <charset val="129"/>
          </rPr>
          <t>총공사비 금액이 절사기준과 다를경우 회색으로 표기됩니다.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4" authorId="0" shapeId="0" xr:uid="{7FF23143-ADF9-4373-BCDD-7E363DFB9708}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AC4" authorId="0" shapeId="0" xr:uid="{5F43B68C-F8F1-4DE8-8F11-B09C9E342DDF}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sharedStrings.xml><?xml version="1.0" encoding="utf-8"?>
<sst xmlns="http://schemas.openxmlformats.org/spreadsheetml/2006/main" count="571" uniqueCount="402">
  <si>
    <t>공사명 : 경기문화재단 ESG 시설환경 개선공사</t>
  </si>
  <si>
    <t>호표</t>
  </si>
  <si>
    <t>명      칭</t>
  </si>
  <si>
    <t>규      격</t>
  </si>
  <si>
    <t>단위</t>
  </si>
  <si>
    <t>합  계</t>
  </si>
  <si>
    <t>재 료 비</t>
  </si>
  <si>
    <t>노 무 비</t>
  </si>
  <si>
    <t>경  비</t>
  </si>
  <si>
    <t>비  고</t>
  </si>
  <si>
    <t>Ton</t>
  </si>
  <si>
    <t>데크포장(철거)</t>
  </si>
  <si>
    <t>T25</t>
  </si>
  <si>
    <t>㎡</t>
  </si>
  <si>
    <t>수목제거</t>
  </si>
  <si>
    <t>주</t>
  </si>
  <si>
    <t>관목류 굴취(제거를 위한)</t>
  </si>
  <si>
    <t>H=0.3~0.7m</t>
  </si>
  <si>
    <t>등의자(철거)</t>
  </si>
  <si>
    <t>W1850xD530</t>
  </si>
  <si>
    <t>EA</t>
  </si>
  <si>
    <t>파고라(철거)</t>
  </si>
  <si>
    <t>W5000x2650</t>
  </si>
  <si>
    <t>기존방수층 제거 및 바탕처리</t>
  </si>
  <si>
    <t>바닥</t>
  </si>
  <si>
    <t>수직부</t>
  </si>
  <si>
    <t>수밀코킹</t>
  </si>
  <si>
    <t>전용건 실링마감</t>
  </si>
  <si>
    <t>m</t>
  </si>
  <si>
    <t>수밀코킹 제거</t>
  </si>
  <si>
    <t>목재트렐리스(철거)</t>
  </si>
  <si>
    <t>W2000xD1320xH2400</t>
  </si>
  <si>
    <t>사각테이블(철거)</t>
  </si>
  <si>
    <t>1480x1480xH720</t>
  </si>
  <si>
    <t>평의자(철거)</t>
  </si>
  <si>
    <t>W1850xD380</t>
  </si>
  <si>
    <t>목재플랜터A(철거)</t>
  </si>
  <si>
    <t>1200x1200xH950</t>
  </si>
  <si>
    <t>목재플랜터B(철거)</t>
  </si>
  <si>
    <t>1000x1000xH780</t>
  </si>
  <si>
    <t>목재플랜터C(철거)</t>
  </si>
  <si>
    <t>800x800xH600</t>
  </si>
  <si>
    <t>㎥</t>
  </si>
  <si>
    <t>점토벽돌플랜터A(철거)</t>
  </si>
  <si>
    <t>0.5B쌓기xH540</t>
  </si>
  <si>
    <t>점토벽돌플랜터B(철거)</t>
  </si>
  <si>
    <t>0.5B쌓기xH420</t>
  </si>
  <si>
    <t>목재가림막(철거)</t>
  </si>
  <si>
    <t>L5930xH1350</t>
  </si>
  <si>
    <t>철재선반(철거)</t>
  </si>
  <si>
    <t>W900xD450xH1200</t>
  </si>
  <si>
    <t>물확(철거)</t>
  </si>
  <si>
    <t>W500xD500xH500</t>
  </si>
  <si>
    <t>조경석A(철거)</t>
  </si>
  <si>
    <t>700x800x900</t>
  </si>
  <si>
    <t>조경석B(철거)</t>
  </si>
  <si>
    <t>400x500x600</t>
  </si>
  <si>
    <t>조경석C(철거)</t>
  </si>
  <si>
    <t>300x400x500</t>
  </si>
  <si>
    <t>인조스피커(철거)</t>
  </si>
  <si>
    <t>W300xH300</t>
  </si>
  <si>
    <t>현무암디딤석(철거)</t>
  </si>
  <si>
    <t>300x300</t>
  </si>
  <si>
    <t>인조잔디매트(철거)</t>
  </si>
  <si>
    <t>T20</t>
  </si>
  <si>
    <t>탈기반(철거)</t>
  </si>
  <si>
    <t>D150</t>
  </si>
  <si>
    <t>철재램프(해체 및 재설치)</t>
  </si>
  <si>
    <t>W1200xL15000</t>
  </si>
  <si>
    <t>둥근소나무(제거)</t>
  </si>
  <si>
    <t>H2.0(B10)</t>
  </si>
  <si>
    <t>H1.8(B8)</t>
  </si>
  <si>
    <t>H1.5(B7)</t>
  </si>
  <si>
    <t>섬잣나무(제거)</t>
  </si>
  <si>
    <t>H3.5(B12)</t>
  </si>
  <si>
    <t>H2.5(B10)</t>
  </si>
  <si>
    <t>스트로브잣나무(제거)</t>
  </si>
  <si>
    <t>H3.0(B10)</t>
  </si>
  <si>
    <t>조형소나무(제거)</t>
  </si>
  <si>
    <t>R24(B19)</t>
  </si>
  <si>
    <t>R22(B18)</t>
  </si>
  <si>
    <t>R20(B16)</t>
  </si>
  <si>
    <t>공작단풍(제거)</t>
  </si>
  <si>
    <t>R8(B6)</t>
  </si>
  <si>
    <t>R6(B5)</t>
  </si>
  <si>
    <t>단풍나무(제거)</t>
  </si>
  <si>
    <t>R10(B8)</t>
  </si>
  <si>
    <t>때죽나무(제거)</t>
  </si>
  <si>
    <t>등나무(제거)</t>
  </si>
  <si>
    <t>R25(B20)</t>
  </si>
  <si>
    <t>머루나무(제거)</t>
  </si>
  <si>
    <t>H1.2(B3)</t>
  </si>
  <si>
    <t>모과나무(제거)</t>
  </si>
  <si>
    <t>배롱나무(제거)</t>
  </si>
  <si>
    <t>R15(B12)</t>
  </si>
  <si>
    <t>R3(B2)</t>
  </si>
  <si>
    <t>R2(B2)</t>
  </si>
  <si>
    <t>벚나무(제거)</t>
  </si>
  <si>
    <t>복자기(제거)</t>
  </si>
  <si>
    <t>홍단풍나무(제거)</t>
  </si>
  <si>
    <t>배수드레인(철거)</t>
  </si>
  <si>
    <t>철거 시설물, 포장 양중</t>
  </si>
  <si>
    <t>데크포장, 파고라 등</t>
  </si>
  <si>
    <t>일</t>
  </si>
  <si>
    <t>제거 수목, 사토 현장 내 양중</t>
  </si>
  <si>
    <t>제거 수목 및 터파기 잔토 등</t>
  </si>
  <si>
    <t>시설,포장재 하차 및 양중</t>
  </si>
  <si>
    <t>파고라, 인조잔디 등</t>
  </si>
  <si>
    <t>배수드레인</t>
  </si>
  <si>
    <t>STmate</t>
  </si>
  <si>
    <t>터파기</t>
  </si>
  <si>
    <t>백호(0.2㎥)90%+인력10%</t>
  </si>
  <si>
    <t>사토운반(토사)</t>
  </si>
  <si>
    <t>덤프20톤+백호0.7㎥,L10km</t>
  </si>
  <si>
    <t>1</t>
  </si>
  <si>
    <t>2</t>
  </si>
  <si>
    <t>=== 엑셀파일에 작성에 대한 안내문(반드시 읽어보세요) ===</t>
  </si>
  <si>
    <t>단   가</t>
  </si>
  <si>
    <t>인조잔디</t>
  </si>
  <si>
    <t>APT35</t>
  </si>
  <si>
    <t>폴리우레아수지도막방수재</t>
  </si>
  <si>
    <t>t3mm, 주차장/옥상</t>
  </si>
  <si>
    <t>t2mm, 주차장/옥상</t>
  </si>
  <si>
    <t>파고라</t>
  </si>
  <si>
    <t>W4181xD4000xH2850</t>
  </si>
  <si>
    <t>목재가림막</t>
  </si>
  <si>
    <t>W1500xH1200</t>
  </si>
  <si>
    <t>방수공</t>
  </si>
  <si>
    <t>조달수수료</t>
  </si>
  <si>
    <t>재료비의 0.54%</t>
  </si>
  <si>
    <t>%</t>
  </si>
  <si>
    <t>임목폐기물 처리비</t>
  </si>
  <si>
    <t>임목폐기물 운반비</t>
  </si>
  <si>
    <t>15km이내</t>
  </si>
  <si>
    <t>혼합건설폐기물 처리비</t>
  </si>
  <si>
    <t>분리 선별된 소각폐기물</t>
  </si>
  <si>
    <t>혼합건설폐기물 운반비</t>
  </si>
  <si>
    <t>폐콘크리트 처리비</t>
  </si>
  <si>
    <t>폐콘크리트 운반비</t>
  </si>
  <si>
    <t>가격 정보</t>
  </si>
  <si>
    <t>페이지</t>
  </si>
  <si>
    <t>물가 자료</t>
  </si>
  <si>
    <t>물가 정보</t>
  </si>
  <si>
    <t>견적1</t>
  </si>
  <si>
    <t>견적2</t>
  </si>
  <si>
    <t>적용 단가</t>
  </si>
  <si>
    <t>가.정</t>
  </si>
  <si>
    <t>물.자</t>
  </si>
  <si>
    <t>물.정</t>
  </si>
  <si>
    <t>견.1</t>
  </si>
  <si>
    <t>견.2</t>
  </si>
  <si>
    <t>설 계 내 역 서</t>
  </si>
  <si>
    <t>공   종</t>
  </si>
  <si>
    <t>수   량</t>
  </si>
  <si>
    <t>금    액</t>
  </si>
  <si>
    <t>직접공사비</t>
  </si>
  <si>
    <t>■</t>
  </si>
  <si>
    <t>경기문화재단 ESG 시설환경 개선공사</t>
  </si>
  <si>
    <t>5.</t>
  </si>
  <si>
    <t>1.</t>
  </si>
  <si>
    <t>철거공</t>
  </si>
  <si>
    <t>총 괄 내 역 서</t>
  </si>
  <si>
    <t>1)</t>
  </si>
  <si>
    <t>방수층 철거</t>
  </si>
  <si>
    <t>2.</t>
  </si>
  <si>
    <t>2)</t>
  </si>
  <si>
    <t>시설물 철거</t>
  </si>
  <si>
    <t>3)</t>
  </si>
  <si>
    <t>토공</t>
  </si>
  <si>
    <t>ⓐ</t>
  </si>
  <si>
    <t>상록교목</t>
  </si>
  <si>
    <t>ⓑ</t>
  </si>
  <si>
    <t>낙엽교목</t>
  </si>
  <si>
    <t>ⓒ</t>
  </si>
  <si>
    <t>관목류제거</t>
  </si>
  <si>
    <t>3.</t>
  </si>
  <si>
    <t>4.</t>
  </si>
  <si>
    <t>부대공</t>
  </si>
  <si>
    <t>관급자재대</t>
  </si>
  <si>
    <t>관급자관급자재대</t>
  </si>
  <si>
    <t>방수재</t>
  </si>
  <si>
    <t>휴게시설</t>
  </si>
  <si>
    <t>6.</t>
  </si>
  <si>
    <t>폐기물처리비</t>
  </si>
  <si>
    <t>_x0007_`JTYP|0_x0005_`ACTL|F_x0005_`</t>
  </si>
  <si>
    <t xml:space="preserve">    가.</t>
  </si>
  <si>
    <t>순공사비계</t>
  </si>
  <si>
    <t xml:space="preserve"> 1. 간접노무비</t>
  </si>
  <si>
    <t>_x0007_`DTP|201_x0005_`QTY1|1_x0005_`BDC|_x0005_`SRE|LA_x0005_`</t>
  </si>
  <si>
    <t xml:space="preserve"> 2. 산재보험료</t>
  </si>
  <si>
    <t>_x0007_`DTP|301_x0005_`QTY1|1_x0005_`BDC|_x0005_`SRE|SA_x0005_`</t>
  </si>
  <si>
    <t xml:space="preserve"> 3. 고용보험료</t>
  </si>
  <si>
    <t>_x0007_`DTP|302_x0005_`QTY1|1_x0005_`BDC|_x0005_`SRE|SA_x0005_`</t>
  </si>
  <si>
    <t xml:space="preserve"> 4. 건강보험료</t>
  </si>
  <si>
    <t>_x0007_`DTP|303_x0005_`QTY1|1_x0005_`BDC|_x0005_`SRE|SA_x0005_`</t>
  </si>
  <si>
    <t xml:space="preserve"> 5. 노인장기요양보험료</t>
  </si>
  <si>
    <t>_x0007_`DTP|310_x0005_`QTY1|1_x0005_`BDC|_x0005_`SRE|SA_x0005_`</t>
  </si>
  <si>
    <t xml:space="preserve"> 6. 연금보험료</t>
  </si>
  <si>
    <t>_x0007_`DTP|304_x0005_`QTY1|1_x0005_`BDC|_x0005_`SRE|SA_x0005_`</t>
  </si>
  <si>
    <t xml:space="preserve"> 7. 퇴직공제부금비</t>
  </si>
  <si>
    <t>_x0007_`DTP|305_x0005_`QTY1|1_x0005_`BDC|_x0005_`SRE|SA_x0005_`</t>
  </si>
  <si>
    <t xml:space="preserve"> 8. 산업안전보건관리비</t>
  </si>
  <si>
    <t>_x0007_`DTP|306_x0005_`QTY1|1_x0005_`BDC|_x0005_`SRE|SA_x0005_`ANK|1_x0005_`</t>
  </si>
  <si>
    <t xml:space="preserve"> 9. 기타경비</t>
  </si>
  <si>
    <t>_x0007_`DTP|321_x0005_`QTY1|1_x0005_`BDC|_x0005_`SRE|SA_x0005_`</t>
  </si>
  <si>
    <t>10. 환경보전비</t>
  </si>
  <si>
    <t>_x0007_`DTP|309_x0005_`QTY1|1_x0005_`BDC|_x0005_`SRE|SA_x0005_`</t>
  </si>
  <si>
    <t>11. 건설기계대여금지급보증 금액</t>
  </si>
  <si>
    <t>_x0007_`DTP|311_x0005_`QTY1|1_x0005_`BDC|_x0005_`SRE|SA_x0005_`</t>
  </si>
  <si>
    <t xml:space="preserve">    나.</t>
  </si>
  <si>
    <t xml:space="preserve">    소   계</t>
  </si>
  <si>
    <t>_x0007_`DTP|400_x0005_`QTY1|1_x0005_`BDC|_x0005_`SRE|TA-F_x0005_`</t>
  </si>
  <si>
    <t>12. 일반관리비</t>
  </si>
  <si>
    <t>_x0007_`DTP|401_x0005_`QTY1|1_x0005_`BDC|_x0005_`SRE|TA_x0005_`</t>
  </si>
  <si>
    <t xml:space="preserve">    다.</t>
  </si>
  <si>
    <t>_x0007_`DTP|410_x0005_`QTY1|1_x0005_`BDC|_x0005_`SRE|TA-F_x0005_`</t>
  </si>
  <si>
    <t>13. 이   윤</t>
  </si>
  <si>
    <t>_x0007_`DTP|402_x0005_`QTY1|1_x0005_`BDC|_x0005_`SRE|TA_x0005_`</t>
  </si>
  <si>
    <t>14. 폐기물처리비</t>
  </si>
  <si>
    <t>_x0007_`DTP|461_x0005_`QTY1|1_x0005_`BDC|A201_x0005_`SRE|_x0005_`ADN|폐기물처리비_x0005_`ADB|_x0005_`</t>
  </si>
  <si>
    <t xml:space="preserve">    라.</t>
  </si>
  <si>
    <t xml:space="preserve">    공급가액</t>
  </si>
  <si>
    <t>_x0007_`DTP|500_x0005_`QTY1|1_x0005_`BDC|_x0005_`SRE|TA-F_x0005_`</t>
  </si>
  <si>
    <t>15. 부가가치세</t>
  </si>
  <si>
    <t>_x0007_`DTP|502_x0005_`QTY1|1_x0005_`BDC|_x0005_`SRE|TA_x0005_`</t>
  </si>
  <si>
    <t xml:space="preserve">    마.</t>
  </si>
  <si>
    <t xml:space="preserve">    도급공사비</t>
  </si>
  <si>
    <t>_x0007_`DTP|600_x0005_`QTY1|1_x0005_`BDC|_x0005_`SRE|TA-F_x0005_`</t>
  </si>
  <si>
    <t>16. 관급자재대(관급자설치)</t>
  </si>
  <si>
    <t>_x0007_`DTP|654_x0005_`QTY1|1_x0005_`BDC|_x0005_`SRE|TA-3_x0005_`</t>
  </si>
  <si>
    <t xml:space="preserve">    바.</t>
  </si>
  <si>
    <t xml:space="preserve">    총공사비</t>
  </si>
  <si>
    <t>_x0007_`DTP|700_x0005_`QTY1|1_x0005_`BDC|_x0005_`SRE|TA-F_x0005_`</t>
  </si>
  <si>
    <t>수정은 아래의 연두색 부분에</t>
  </si>
  <si>
    <t>공 사 원 가 계 산 서</t>
  </si>
  <si>
    <t>공사기간: 착공일로부터 60일</t>
  </si>
  <si>
    <t xml:space="preserve">    비    목</t>
  </si>
  <si>
    <t xml:space="preserve">구    분    </t>
  </si>
  <si>
    <t>구 성 비</t>
  </si>
  <si>
    <t>비    고</t>
  </si>
  <si>
    <t>직  접  재  료  비</t>
  </si>
  <si>
    <t>간  접  재  료  비</t>
  </si>
  <si>
    <t>작업설,부산물등(△)</t>
  </si>
  <si>
    <t>소              계</t>
  </si>
  <si>
    <t>직  접  노  무  비</t>
  </si>
  <si>
    <t>간  접  노  무  비</t>
  </si>
  <si>
    <t>산   출    경   비</t>
  </si>
  <si>
    <t>산  재  보  험  료</t>
  </si>
  <si>
    <t>고  용  보  험  료</t>
  </si>
  <si>
    <t>건  강  보  험  료</t>
  </si>
  <si>
    <t>노인장기요양보험료</t>
  </si>
  <si>
    <t>연  금  보  험  료</t>
  </si>
  <si>
    <t>퇴 직 공 제 부 금 비</t>
  </si>
  <si>
    <t>산업안전보건관리비</t>
  </si>
  <si>
    <t>기   타    경   비</t>
  </si>
  <si>
    <t>환  경  보  전  비</t>
  </si>
  <si>
    <t>건설기계대여금지급보증 금액</t>
  </si>
  <si>
    <t>일   반   관   리   비</t>
  </si>
  <si>
    <t>이                  윤</t>
  </si>
  <si>
    <t>총        원        가</t>
  </si>
  <si>
    <t>부   가   가   치   세</t>
  </si>
  <si>
    <t>도   급   공   사   비</t>
  </si>
  <si>
    <t>관급자재대(관급자설치)</t>
  </si>
  <si>
    <t>총     공     사     비</t>
  </si>
  <si>
    <t>순 공 사 원 가</t>
  </si>
  <si>
    <t>경    비</t>
  </si>
  <si>
    <t>QTY</t>
  </si>
  <si>
    <t>엑셀파일 수정후 계산식 반영이 안될경우 :【 Ctrl+Alt(+Shift)+F9 】</t>
  </si>
  <si>
    <t>◈ 엑셀파일내의 산식은 기초단가, 복합단가, 내역서 및 총괄내역서까지 연결됩니다.</t>
  </si>
  <si>
    <t xml:space="preserve">    (모든산식은 단가만을 불러오며, 명칭, 규격, 단위, 비고.. 등은 TEXT로 입력됩니다)</t>
  </si>
  <si>
    <t>◈ 각 Sheet우측에는 해당 항목을 찾아가는 위치이동(→) 링크가 있으며, 클릭하면 이동됩니다.</t>
  </si>
  <si>
    <t xml:space="preserve">    (Alt + ← 키를 이용하여 찾아갔던 항목을 되돌아 올 수 있습니다.)</t>
  </si>
  <si>
    <t>◈ 자재단가 대비표의 적용단가는 수식이 적용되지 않았으나, 우측에 최소단가 수식을 입력하였습니다.</t>
  </si>
  <si>
    <t>◈ 일위대가표 및 중기사용료 및 총괄내역서의 양식은 일반양식을 적용합니다.</t>
  </si>
  <si>
    <t>◈ [목차] 및 [안내] Sheet의 이름을 변경하지 마시고, Sheet이름을 변경할때 공백문자 및 특수문자를 사용하지 마십시요.</t>
  </si>
  <si>
    <t>※※※     아래의 내용(안내 및 오류)을 확인/검토 하세요     ※※※</t>
  </si>
  <si>
    <t>【설계내역서】90번째줄 에서 사용된【S19840】코드의 %단위(M%) 는 산식을 입력할 수 없으니 손료계산 형식으로 변경하십시요.</t>
  </si>
  <si>
    <t>【총괄내역서】26번째줄의 I열 이윤보정액은 총공사비 금액이 다를경우 임의조정(±α) 하십시요.</t>
  </si>
  <si>
    <t>【총괄내역서】32번째줄의 D열에 계산된 총공사비 금액을 확인하십시요.</t>
  </si>
  <si>
    <t>목    차</t>
  </si>
  <si>
    <t>1. ※※안내※※</t>
  </si>
  <si>
    <t>2. 공사원가계산서</t>
  </si>
  <si>
    <t>3. 총괄내역서</t>
  </si>
  <si>
    <t>4. 설계내역서</t>
  </si>
  <si>
    <t>※※ 현재 Sheet를 수정 또는 삭제하지 마십시요[수정/삭제시 STmate 데이타로 변환할 수 없습니다] ※※</t>
  </si>
  <si>
    <t>[Sheet정보]</t>
  </si>
  <si>
    <t>목차</t>
  </si>
  <si>
    <t>Sheet</t>
  </si>
  <si>
    <t>FPos</t>
  </si>
  <si>
    <t>ITNAME</t>
  </si>
  <si>
    <t>NAME</t>
  </si>
  <si>
    <t>SIZE</t>
  </si>
  <si>
    <t>UNIT</t>
  </si>
  <si>
    <t>SPOS</t>
  </si>
  <si>
    <t>EPOS</t>
  </si>
  <si>
    <t>TAMT</t>
  </si>
  <si>
    <t>TAMOUNT</t>
  </si>
  <si>
    <t>MAMT</t>
  </si>
  <si>
    <t>MAMOUNT</t>
  </si>
  <si>
    <t>LAMT</t>
  </si>
  <si>
    <t>LAMOUNT</t>
  </si>
  <si>
    <t>SAMT</t>
  </si>
  <si>
    <t>SAMOUNT</t>
  </si>
  <si>
    <t>AAMT</t>
  </si>
  <si>
    <t>AAMOUNT</t>
  </si>
  <si>
    <t>NAMT</t>
  </si>
  <si>
    <t>NAMOUNT</t>
  </si>
  <si>
    <t>INFO</t>
  </si>
  <si>
    <t>1. 재료비목록표</t>
  </si>
  <si>
    <t>2. 노무비목록표</t>
  </si>
  <si>
    <t>3. 경비목록표</t>
  </si>
  <si>
    <t>4. 일식목록표</t>
  </si>
  <si>
    <t>5. 환율 및 기초자료</t>
  </si>
  <si>
    <t>6. 중기목록표</t>
  </si>
  <si>
    <t>7. 실적단가표</t>
  </si>
  <si>
    <t>8. 일위대가목록표</t>
  </si>
  <si>
    <t>9. 산출근거목록표</t>
  </si>
  <si>
    <t>10. 자재단가대비표</t>
  </si>
  <si>
    <t>11. 내역서</t>
  </si>
  <si>
    <t>12. 총괄내역서</t>
  </si>
  <si>
    <t>13. 중기사용료</t>
  </si>
  <si>
    <t>14. 일위대가표</t>
  </si>
  <si>
    <t>15. 단가산출근거</t>
  </si>
  <si>
    <t xml:space="preserve">16. </t>
  </si>
  <si>
    <t xml:space="preserve">17. </t>
  </si>
  <si>
    <t>18. 표준시장목록표</t>
  </si>
  <si>
    <t>[공사정보]</t>
  </si>
  <si>
    <t>M_DVER</t>
  </si>
  <si>
    <t>26.02</t>
  </si>
  <si>
    <t>PNAME</t>
  </si>
  <si>
    <t>PCLAS</t>
  </si>
  <si>
    <t>0</t>
  </si>
  <si>
    <t>SCLAS</t>
  </si>
  <si>
    <t>K_ORD</t>
  </si>
  <si>
    <t>PRIPR</t>
  </si>
  <si>
    <t>True</t>
  </si>
  <si>
    <t>ACTYP</t>
  </si>
  <si>
    <t>ACTOP</t>
  </si>
  <si>
    <t>[초기값]</t>
  </si>
  <si>
    <t>P_ORD</t>
  </si>
  <si>
    <t>EXNM_</t>
  </si>
  <si>
    <t>RXNM_</t>
  </si>
  <si>
    <t>EXRNM</t>
  </si>
  <si>
    <t>1/8 * 16/12 * 25/20</t>
  </si>
  <si>
    <t>1/8*16/12*25/20*24/15</t>
  </si>
  <si>
    <t>1/8*16/12*25/20*12/10</t>
  </si>
  <si>
    <t>1/8*16/12*25/20*24/5</t>
  </si>
  <si>
    <t>COND_</t>
  </si>
  <si>
    <t>L00048L00049L00050L00052L00053L00054L00055</t>
  </si>
  <si>
    <t>KCDNM</t>
  </si>
  <si>
    <t>JCDNM</t>
  </si>
  <si>
    <t>ECDNM</t>
  </si>
  <si>
    <t>ACDNM</t>
  </si>
  <si>
    <t>BPNNM</t>
  </si>
  <si>
    <t>ZCDNM</t>
  </si>
  <si>
    <t>CHGNM</t>
  </si>
  <si>
    <t>CHBNM</t>
  </si>
  <si>
    <t>CHNNM</t>
  </si>
  <si>
    <t>CUTNM</t>
  </si>
  <si>
    <t>OPTNM</t>
  </si>
  <si>
    <t>SML</t>
  </si>
  <si>
    <t>S_JDA</t>
  </si>
  <si>
    <t>False</t>
  </si>
  <si>
    <t>SUBNM</t>
  </si>
  <si>
    <t>[인쇄정보]</t>
  </si>
  <si>
    <t>BMSTR</t>
  </si>
  <si>
    <t>BMKNM</t>
  </si>
  <si>
    <t>TMLS</t>
  </si>
  <si>
    <t>JEMNM</t>
  </si>
  <si>
    <t>123456</t>
  </si>
  <si>
    <t>JMKN1</t>
  </si>
  <si>
    <t>JMKN2</t>
  </si>
  <si>
    <t>JMKN3</t>
  </si>
  <si>
    <t>JMKN4</t>
  </si>
  <si>
    <t>JMKN5</t>
  </si>
  <si>
    <t>JMKN6</t>
  </si>
  <si>
    <t>CAP_CODE</t>
  </si>
  <si>
    <t>코드번호</t>
  </si>
  <si>
    <t>CAP_NO</t>
  </si>
  <si>
    <t>CAP_IBRD</t>
  </si>
  <si>
    <t>분류번호</t>
  </si>
  <si>
    <t>CAP_EQCOD</t>
  </si>
  <si>
    <t>시설코드</t>
  </si>
  <si>
    <t>CAP_ITNUM</t>
  </si>
  <si>
    <t>CAP_NAME</t>
  </si>
  <si>
    <t>CAP_SIZE</t>
  </si>
  <si>
    <t>CAP_QTY</t>
  </si>
  <si>
    <t>CAP_SUNIT</t>
  </si>
  <si>
    <t>CAP_AMT</t>
  </si>
  <si>
    <t>CAP_PAGE</t>
  </si>
  <si>
    <t>CAP_AMOUNT</t>
  </si>
  <si>
    <t>CAP_BIGO</t>
  </si>
  <si>
    <t>[PREPARE]</t>
  </si>
  <si>
    <t>PREP_VER</t>
  </si>
  <si>
    <t>w26.02</t>
  </si>
  <si>
    <t>PREP_COP</t>
  </si>
  <si>
    <t>(주) 디자인그룹모빌</t>
  </si>
  <si>
    <t>PREP_DATE</t>
  </si>
  <si>
    <t>2026-02-12 14:50</t>
  </si>
  <si>
    <t>[.끝.]</t>
  </si>
  <si>
    <t>※ 본 엑셀자료는 【STmate w26.02】버전 이상에서 STmate 자료로 다시 등록할 수 있습니다.</t>
  </si>
  <si>
    <t xml:space="preserve">   단, 임의로 수정한 내용(Sheet삭제, 산근내용변경, 기타계산식변경..)은 반영되지 않을 수 있습니다.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</si>
</sst>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"/>
    <numFmt numFmtId="177" formatCode="#,##0.#######;\-#,##0.#######;#"/>
    <numFmt numFmtId="178" formatCode="#,##0;\-#,##0;#"/>
    <numFmt numFmtId="179" formatCode="#,##0.#######"/>
    <numFmt numFmtId="180" formatCode="#,##0.####;\-#,##0.####;#"/>
    <numFmt numFmtId="181" formatCode="#,##0.###;\-#,##0.###;#"/>
    <numFmt numFmtId="182" formatCode="#,##0.######;\-#,##0.######;#"/>
    <numFmt numFmtId="183" formatCode="0.000\ &quot;%&quot;;;#"/>
  </numFmts>
  <fonts count="23" x14ac:knownFonts="1">
    <font>
      <sz val="11"/>
      <color theme="1"/>
      <name val="맑은 고딕"/>
      <family val="2"/>
      <charset val="129"/>
      <scheme val="minor"/>
    </font>
    <font>
      <b/>
      <u/>
      <sz val="15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22"/>
      <name val="굴림체"/>
      <family val="3"/>
      <charset val="129"/>
    </font>
    <font>
      <sz val="10"/>
      <color indexed="22"/>
      <name val="맑은 고딕"/>
      <family val="3"/>
      <charset val="129"/>
      <scheme val="minor"/>
    </font>
    <font>
      <sz val="9"/>
      <color indexed="12"/>
      <name val="굴림체"/>
      <family val="3"/>
      <charset val="129"/>
    </font>
    <font>
      <sz val="9"/>
      <name val="맑은 고딕"/>
      <family val="3"/>
      <charset val="129"/>
      <scheme val="minor"/>
    </font>
    <font>
      <u/>
      <sz val="9"/>
      <color indexed="22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indexed="9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2"/>
      <color indexed="12"/>
      <name val="굴림체"/>
      <family val="3"/>
      <charset val="129"/>
    </font>
    <font>
      <b/>
      <sz val="14"/>
      <color indexed="12"/>
      <name val="굴림체"/>
      <family val="3"/>
      <charset val="129"/>
    </font>
    <font>
      <sz val="10"/>
      <color indexed="12"/>
      <name val="굴림체"/>
      <family val="3"/>
      <charset val="129"/>
    </font>
    <font>
      <sz val="10"/>
      <color indexed="9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sz val="9"/>
      <color indexed="12"/>
      <name val="굴림체"/>
      <family val="3"/>
      <charset val="129"/>
    </font>
    <font>
      <sz val="20"/>
      <color indexed="8"/>
      <name val="굴림체"/>
      <family val="3"/>
      <charset val="129"/>
    </font>
    <font>
      <b/>
      <sz val="15"/>
      <color indexed="10"/>
      <name val="굴림체"/>
      <family val="3"/>
      <charset val="129"/>
    </font>
    <font>
      <sz val="9"/>
      <color indexed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9" fontId="3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177" fontId="3" fillId="0" borderId="0" xfId="0" applyNumberFormat="1" applyFont="1" applyAlignment="1">
      <alignment horizontal="lef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right" vertical="center" shrinkToFit="1"/>
    </xf>
    <xf numFmtId="180" fontId="2" fillId="0" borderId="4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182" fontId="2" fillId="0" borderId="4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6" xfId="0" applyNumberFormat="1" applyFont="1" applyBorder="1" applyAlignment="1">
      <alignment horizontal="right" vertical="center" shrinkToFit="1"/>
    </xf>
    <xf numFmtId="178" fontId="2" fillId="0" borderId="3" xfId="0" applyNumberFormat="1" applyFont="1" applyBorder="1" applyAlignment="1">
      <alignment horizontal="right" vertical="center" shrinkToFit="1"/>
    </xf>
    <xf numFmtId="178" fontId="2" fillId="0" borderId="0" xfId="0" applyNumberFormat="1" applyFont="1" applyAlignment="1">
      <alignment horizontal="right" vertical="center" shrinkToFit="1"/>
    </xf>
    <xf numFmtId="182" fontId="2" fillId="0" borderId="6" xfId="0" applyNumberFormat="1" applyFont="1" applyBorder="1" applyAlignment="1">
      <alignment horizontal="right" vertical="center" shrinkToFit="1"/>
    </xf>
    <xf numFmtId="181" fontId="2" fillId="0" borderId="4" xfId="0" applyNumberFormat="1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182" fontId="2" fillId="0" borderId="3" xfId="0" applyNumberFormat="1" applyFont="1" applyBorder="1" applyAlignment="1">
      <alignment horizontal="right" vertical="center" shrinkToFit="1"/>
    </xf>
    <xf numFmtId="181" fontId="2" fillId="0" borderId="1" xfId="0" applyNumberFormat="1" applyFont="1" applyBorder="1" applyAlignment="1">
      <alignment horizontal="right" vertical="center" shrinkToFit="1"/>
    </xf>
    <xf numFmtId="182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 applyAlignment="1">
      <alignment horizontal="right" vertical="center" shrinkToFit="1"/>
    </xf>
    <xf numFmtId="178" fontId="2" fillId="3" borderId="0" xfId="0" applyNumberFormat="1" applyFont="1" applyFill="1" applyAlignment="1">
      <alignment horizontal="right" vertical="center" shrinkToFit="1"/>
    </xf>
    <xf numFmtId="176" fontId="2" fillId="3" borderId="0" xfId="0" applyNumberFormat="1" applyFont="1" applyFill="1" applyAlignment="1">
      <alignment horizontal="right" vertical="center" shrinkToFit="1"/>
    </xf>
    <xf numFmtId="179" fontId="2" fillId="3" borderId="0" xfId="0" applyNumberFormat="1" applyFont="1" applyFill="1" applyAlignment="1">
      <alignment horizontal="right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8" fontId="2" fillId="0" borderId="5" xfId="0" applyNumberFormat="1" applyFont="1" applyBorder="1" applyAlignment="1">
      <alignment horizontal="right" vertical="center" shrinkToFit="1"/>
    </xf>
    <xf numFmtId="183" fontId="2" fillId="0" borderId="8" xfId="0" applyNumberFormat="1" applyFont="1" applyBorder="1" applyAlignment="1">
      <alignment horizontal="right" vertical="center" shrinkToFit="1"/>
    </xf>
    <xf numFmtId="183" fontId="2" fillId="0" borderId="5" xfId="0" applyNumberFormat="1" applyFont="1" applyBorder="1" applyAlignment="1">
      <alignment horizontal="right" vertical="center" shrinkToFit="1"/>
    </xf>
    <xf numFmtId="183" fontId="2" fillId="0" borderId="4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0" fontId="0" fillId="0" borderId="8" xfId="0" applyBorder="1" applyAlignment="1">
      <alignment shrinkToFit="1"/>
    </xf>
    <xf numFmtId="49" fontId="2" fillId="0" borderId="5" xfId="0" applyNumberFormat="1" applyFont="1" applyBorder="1" applyAlignment="1">
      <alignment horizontal="left" vertical="center" shrinkToFit="1"/>
    </xf>
    <xf numFmtId="177" fontId="2" fillId="0" borderId="8" xfId="0" applyNumberFormat="1" applyFont="1" applyBorder="1" applyAlignment="1">
      <alignment horizontal="left" vertical="center" shrinkToFit="1"/>
    </xf>
    <xf numFmtId="177" fontId="2" fillId="0" borderId="3" xfId="0" applyNumberFormat="1" applyFont="1" applyBorder="1" applyAlignment="1">
      <alignment horizontal="left" vertical="center" shrinkToFit="1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0" fillId="0" borderId="0" xfId="0" applyAlignment="1" applyProtection="1">
      <alignment shrinkToFit="1"/>
      <protection hidden="1"/>
    </xf>
    <xf numFmtId="49" fontId="2" fillId="5" borderId="0" xfId="0" applyNumberFormat="1" applyFont="1" applyFill="1" applyAlignment="1" applyProtection="1">
      <alignment horizontal="left" vertical="center" shrinkToFit="1"/>
      <protection hidden="1"/>
    </xf>
    <xf numFmtId="49" fontId="2" fillId="0" borderId="0" xfId="0" applyNumberFormat="1" applyFont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1" fontId="2" fillId="0" borderId="0" xfId="0" applyNumberFormat="1" applyFont="1" applyAlignment="1" applyProtection="1">
      <alignment horizontal="left" vertical="center" shrinkToFit="1"/>
      <protection hidden="1"/>
    </xf>
    <xf numFmtId="0" fontId="12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shrinkToFit="1"/>
    </xf>
    <xf numFmtId="0" fontId="15" fillId="4" borderId="0" xfId="0" applyFont="1" applyFill="1" applyAlignment="1">
      <alignment horizontal="left" vertical="center"/>
    </xf>
    <xf numFmtId="0" fontId="0" fillId="0" borderId="0" xfId="0"/>
    <xf numFmtId="49" fontId="1" fillId="0" borderId="0" xfId="0" applyNumberFormat="1" applyFont="1" applyAlignment="1">
      <alignment horizontal="center" vertical="center" shrinkToFit="1"/>
    </xf>
    <xf numFmtId="49" fontId="2" fillId="0" borderId="7" xfId="0" applyNumberFormat="1" applyFont="1" applyBorder="1" applyAlignment="1">
      <alignment horizontal="right" vertical="center" shrinkToFit="1"/>
    </xf>
    <xf numFmtId="0" fontId="0" fillId="0" borderId="7" xfId="0" applyBorder="1"/>
    <xf numFmtId="49" fontId="2" fillId="0" borderId="5" xfId="0" applyNumberFormat="1" applyFont="1" applyBorder="1" applyAlignment="1">
      <alignment horizontal="center" vertical="center" shrinkToFit="1"/>
    </xf>
    <xf numFmtId="0" fontId="0" fillId="0" borderId="5" xfId="0" applyBorder="1"/>
    <xf numFmtId="49" fontId="2" fillId="0" borderId="3" xfId="0" applyNumberFormat="1" applyFont="1" applyBorder="1" applyAlignment="1">
      <alignment horizontal="left" vertical="center" shrinkToFit="1"/>
    </xf>
    <xf numFmtId="0" fontId="0" fillId="0" borderId="3" xfId="0" applyBorder="1"/>
    <xf numFmtId="49" fontId="9" fillId="0" borderId="1" xfId="0" applyNumberFormat="1" applyFont="1" applyBorder="1" applyAlignment="1">
      <alignment horizontal="distributed" vertical="center" indent="2" shrinkToFit="1"/>
    </xf>
    <xf numFmtId="0" fontId="0" fillId="0" borderId="4" xfId="0" applyBorder="1" applyAlignment="1">
      <alignment horizontal="distributed" indent="2"/>
    </xf>
    <xf numFmtId="49" fontId="2" fillId="0" borderId="8" xfId="0" applyNumberFormat="1" applyFont="1" applyBorder="1" applyAlignment="1">
      <alignment horizontal="center" vertical="center" textRotation="255" shrinkToFit="1"/>
    </xf>
    <xf numFmtId="0" fontId="0" fillId="0" borderId="8" xfId="0" applyBorder="1"/>
    <xf numFmtId="49" fontId="2" fillId="0" borderId="3" xfId="0" applyNumberFormat="1" applyFont="1" applyBorder="1" applyAlignment="1">
      <alignment horizontal="distributed" vertical="center" indent="2" shrinkToFit="1"/>
    </xf>
    <xf numFmtId="0" fontId="0" fillId="0" borderId="3" xfId="0" applyBorder="1" applyAlignment="1">
      <alignment horizontal="distributed" indent="2"/>
    </xf>
    <xf numFmtId="0" fontId="0" fillId="0" borderId="2" xfId="0" applyBorder="1" applyAlignment="1">
      <alignment horizontal="distributed" indent="2"/>
    </xf>
    <xf numFmtId="49" fontId="2" fillId="0" borderId="1" xfId="0" applyNumberFormat="1" applyFont="1" applyBorder="1" applyAlignment="1">
      <alignment horizontal="distributed" vertical="center" indent="2" shrinkToFit="1"/>
    </xf>
    <xf numFmtId="177" fontId="2" fillId="0" borderId="4" xfId="0" applyNumberFormat="1" applyFont="1" applyBorder="1" applyAlignment="1">
      <alignment horizontal="left" vertical="center" shrinkToFit="1"/>
    </xf>
    <xf numFmtId="0" fontId="0" fillId="0" borderId="4" xfId="0" applyBorder="1"/>
    <xf numFmtId="0" fontId="0" fillId="0" borderId="6" xfId="0" applyBorder="1"/>
    <xf numFmtId="49" fontId="10" fillId="2" borderId="0" xfId="0" applyNumberFormat="1" applyFont="1" applyFill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0" fillId="0" borderId="2" xfId="0" applyBorder="1"/>
    <xf numFmtId="49" fontId="19" fillId="0" borderId="0" xfId="0" applyNumberFormat="1" applyFont="1" applyAlignment="1" applyProtection="1">
      <alignment horizontal="left" vertical="center" shrinkToFit="1"/>
      <protection hidden="1"/>
    </xf>
  </cellXfs>
  <cellStyles count="1">
    <cellStyle name="표준" xfId="0" builtinId="0"/>
  </cellStyles>
  <dxfs count="4">
    <dxf>
      <numFmt numFmtId="176" formatCode="#,###"/>
    </dxf>
    <dxf>
      <numFmt numFmtId="176" formatCode="#,###"/>
    </dxf>
    <dxf>
      <fill>
        <patternFill>
          <bgColor rgb="FFC0C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D3E4EAC-8B42-20B2-54B8-4CB406AC4D4E}"/>
            </a:ext>
          </a:extLst>
        </xdr:cNvPr>
        <xdr:cNvCxnSpPr/>
      </xdr:nvCxnSpPr>
      <xdr:spPr>
        <a:xfrm>
          <a:off x="0" y="647700"/>
          <a:ext cx="2514600" cy="6667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8F52-43B9-4534-BC5C-D997DB7BE700}">
  <sheetPr>
    <tabColor rgb="FF0000FF"/>
  </sheetPr>
  <dimension ref="B1:D19"/>
  <sheetViews>
    <sheetView tabSelected="1" workbookViewId="0">
      <selection activeCell="B7" sqref="B7"/>
    </sheetView>
  </sheetViews>
  <sheetFormatPr defaultRowHeight="16.5" x14ac:dyDescent="0.3"/>
  <cols>
    <col min="2" max="2" width="23.625" customWidth="1"/>
    <col min="4" max="4" width="21.625" customWidth="1"/>
  </cols>
  <sheetData>
    <row r="1" spans="2:4" ht="24.95" customHeight="1" x14ac:dyDescent="0.3">
      <c r="D1" s="78" t="str">
        <f ca="1">IF('〓 INITIAL 〓'!C4,"※※ 기본정보의 일부가 삭제되어 Stmate로 변환할 수 없습니다 ※※","")</f>
        <v>※※ 기본정보의 일부가 삭제되어 Stmate로 변환할 수 없습니다 ※※</v>
      </c>
    </row>
    <row r="2" spans="2:4" ht="23.85" customHeight="1" x14ac:dyDescent="0.3">
      <c r="B2" s="66" t="s">
        <v>279</v>
      </c>
      <c r="D2" s="79" t="s">
        <v>400</v>
      </c>
    </row>
    <row r="3" spans="2:4" ht="23.85" customHeight="1" x14ac:dyDescent="0.3">
      <c r="D3" s="79" t="s">
        <v>401</v>
      </c>
    </row>
    <row r="4" spans="2:4" ht="23.85" customHeight="1" x14ac:dyDescent="0.3">
      <c r="B4" s="21" t="s">
        <v>280</v>
      </c>
      <c r="D4" s="3" t="str">
        <f>HYPERLINK("#'※※안내※※'!A1","※※안내※※ →")</f>
        <v>※※안내※※ →</v>
      </c>
    </row>
    <row r="5" spans="2:4" ht="23.85" customHeight="1" x14ac:dyDescent="0.3">
      <c r="B5" s="21" t="s">
        <v>281</v>
      </c>
      <c r="D5" s="3" t="str">
        <f ca="1">HYPERLINK("#"&amp;공사원가계산서!G2&amp;"!A1","공사원가계산서 →")</f>
        <v>공사원가계산서 →</v>
      </c>
    </row>
    <row r="6" spans="2:4" ht="23.85" customHeight="1" x14ac:dyDescent="0.3">
      <c r="B6" s="21" t="s">
        <v>282</v>
      </c>
      <c r="D6" s="3" t="str">
        <f ca="1">HYPERLINK("#"&amp;총괄내역서!H2&amp;"!A1","총괄내역서 →")</f>
        <v>총괄내역서 →</v>
      </c>
    </row>
    <row r="7" spans="2:4" ht="23.85" customHeight="1" x14ac:dyDescent="0.3">
      <c r="B7" s="21" t="s">
        <v>283</v>
      </c>
      <c r="D7" s="3" t="str">
        <f ca="1">HYPERLINK("#"&amp;설계내역서!O2&amp;"!A1","설계내역서 →")</f>
        <v>설계내역서 →</v>
      </c>
    </row>
    <row r="8" spans="2:4" ht="23.85" customHeight="1" x14ac:dyDescent="0.3">
      <c r="B8" s="21"/>
      <c r="D8" s="3"/>
    </row>
    <row r="9" spans="2:4" ht="23.85" customHeight="1" x14ac:dyDescent="0.3">
      <c r="B9" s="21"/>
      <c r="D9" s="3"/>
    </row>
    <row r="10" spans="2:4" ht="23.85" customHeight="1" x14ac:dyDescent="0.3">
      <c r="B10" s="21"/>
      <c r="D10" s="3"/>
    </row>
    <row r="11" spans="2:4" ht="23.85" customHeight="1" x14ac:dyDescent="0.3">
      <c r="B11" s="21"/>
      <c r="D11" s="3"/>
    </row>
    <row r="12" spans="2:4" ht="23.85" customHeight="1" x14ac:dyDescent="0.3">
      <c r="B12" s="21"/>
      <c r="D12" s="3"/>
    </row>
    <row r="13" spans="2:4" ht="23.85" customHeight="1" x14ac:dyDescent="0.3">
      <c r="B13" s="21"/>
      <c r="D13" s="3"/>
    </row>
    <row r="14" spans="2:4" ht="23.85" customHeight="1" x14ac:dyDescent="0.3">
      <c r="B14" s="21"/>
      <c r="D14" s="3"/>
    </row>
    <row r="15" spans="2:4" ht="23.85" customHeight="1" x14ac:dyDescent="0.3">
      <c r="B15" s="21"/>
      <c r="D15" s="3"/>
    </row>
    <row r="16" spans="2:4" ht="23.85" customHeight="1" x14ac:dyDescent="0.3">
      <c r="B16" s="21"/>
      <c r="D16" s="3"/>
    </row>
    <row r="17" spans="2:4" ht="23.85" customHeight="1" x14ac:dyDescent="0.3">
      <c r="B17" s="21"/>
      <c r="D17" s="3"/>
    </row>
    <row r="18" spans="2:4" ht="23.85" customHeight="1" x14ac:dyDescent="0.3">
      <c r="B18" s="21"/>
      <c r="D18" s="3"/>
    </row>
    <row r="19" spans="2:4" ht="23.85" customHeight="1" x14ac:dyDescent="0.3">
      <c r="B19" s="21"/>
      <c r="D19" s="3"/>
    </row>
  </sheetData>
  <phoneticPr fontId="21" type="noConversion"/>
  <printOptions horizontalCentered="1"/>
  <pageMargins left="0.59055118110236215" right="0.59055118110236215" top="0.78740157480314965" bottom="0.82677165354330706" header="0" footer="0.62992125984251968"/>
  <pageSetup paperSize="9" fitToWidth="0" fitToHeight="0" orientation="portrait" r:id="rId1"/>
  <headerFooter alignWithMargins="0">
    <oddFooter xml:space="preserve">&amp;C&amp;"굴림체,"&amp;9 - &amp;P -&amp;R&amp;"굴림체,"&amp;9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3969-C0E5-4B22-A2CC-DF67E0895C8B}">
  <sheetPr>
    <tabColor rgb="FFFF0000"/>
  </sheetPr>
  <dimension ref="A2:I18"/>
  <sheetViews>
    <sheetView workbookViewId="0">
      <selection activeCell="H27" sqref="H27"/>
    </sheetView>
  </sheetViews>
  <sheetFormatPr defaultRowHeight="16.5" x14ac:dyDescent="0.3"/>
  <cols>
    <col min="1" max="1" width="9.125" style="4" customWidth="1"/>
    <col min="2" max="2" width="4.75" customWidth="1"/>
  </cols>
  <sheetData>
    <row r="2" spans="1:9" x14ac:dyDescent="0.3">
      <c r="A2" s="3" t="str">
        <f>HYPERLINK("#'〓 목 차 〓'!B2","목차 →")</f>
        <v>목차 →</v>
      </c>
      <c r="B2" s="61" t="s">
        <v>116</v>
      </c>
    </row>
    <row r="4" spans="1:9" ht="18.75" x14ac:dyDescent="0.3">
      <c r="B4" s="62" t="s">
        <v>267</v>
      </c>
    </row>
    <row r="6" spans="1:9" x14ac:dyDescent="0.3">
      <c r="B6" s="60" t="s">
        <v>268</v>
      </c>
    </row>
    <row r="7" spans="1:9" x14ac:dyDescent="0.3">
      <c r="B7" s="60" t="s">
        <v>269</v>
      </c>
    </row>
    <row r="8" spans="1:9" x14ac:dyDescent="0.3">
      <c r="B8" s="63" t="s">
        <v>270</v>
      </c>
    </row>
    <row r="9" spans="1:9" x14ac:dyDescent="0.3">
      <c r="B9" s="60" t="s">
        <v>271</v>
      </c>
    </row>
    <row r="10" spans="1:9" x14ac:dyDescent="0.3">
      <c r="B10" s="60" t="s">
        <v>272</v>
      </c>
    </row>
    <row r="11" spans="1:9" x14ac:dyDescent="0.3">
      <c r="B11" s="60" t="s">
        <v>273</v>
      </c>
    </row>
    <row r="12" spans="1:9" x14ac:dyDescent="0.3">
      <c r="B12" s="81" t="e">
        <f>HYPERLINK("#"&amp;#REF!&amp;"!Y3","◈ 단가산출근거의 수량부분은 산출근거 우측 연두색 부분에서 수정합니다. →")</f>
        <v>#REF!</v>
      </c>
      <c r="C12" s="82"/>
      <c r="D12" s="82"/>
      <c r="E12" s="82"/>
      <c r="F12" s="82"/>
      <c r="G12" s="82"/>
      <c r="H12" s="82"/>
      <c r="I12" s="82"/>
    </row>
    <row r="13" spans="1:9" x14ac:dyDescent="0.3">
      <c r="B13" s="60" t="s">
        <v>274</v>
      </c>
    </row>
    <row r="15" spans="1:9" x14ac:dyDescent="0.3">
      <c r="B15" s="64" t="s">
        <v>275</v>
      </c>
    </row>
    <row r="16" spans="1:9" x14ac:dyDescent="0.3">
      <c r="B16" s="2" t="str">
        <f ca="1">HYPERLINK("#"&amp;설계내역서!O2&amp;"!A"&amp;ROW(설계내역서!A90)," → ")</f>
        <v xml:space="preserve"> → </v>
      </c>
      <c r="C16" s="1" t="s">
        <v>276</v>
      </c>
    </row>
    <row r="17" spans="2:3" x14ac:dyDescent="0.3">
      <c r="B17" s="2" t="str">
        <f ca="1">HYPERLINK("#"&amp;총괄내역서!H2&amp;"!I"&amp;ROW(총괄내역서!I26)," → ")</f>
        <v xml:space="preserve"> → </v>
      </c>
      <c r="C17" s="65" t="s">
        <v>277</v>
      </c>
    </row>
    <row r="18" spans="2:3" x14ac:dyDescent="0.3">
      <c r="B18" s="2" t="str">
        <f ca="1">HYPERLINK("#"&amp;총괄내역서!H2&amp;"!D"&amp;ROW(총괄내역서!D32)," → ")</f>
        <v xml:space="preserve"> → </v>
      </c>
      <c r="C18" s="1" t="s">
        <v>278</v>
      </c>
    </row>
  </sheetData>
  <mergeCells count="1">
    <mergeCell ref="B12:I12"/>
  </mergeCells>
  <phoneticPr fontId="21" type="noConversion"/>
  <printOptions horizontalCentered="1"/>
  <pageMargins left="0.59055118110236215" right="0.59055118110236215" top="0.78740157480314965" bottom="1" header="0" footer="0.5"/>
  <pageSetup paperSize="9" fitToWidth="0" fitToHeight="0" orientation="portrait"/>
  <headerFooter alignWithMargins="0">
    <oddFooter xml:space="preserve">&amp;C&amp;"굴림체,"&amp;9 - &amp;P -&amp;R&amp;"굴림체,"&amp;9 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383A-5F27-4B6E-9D0E-9C842A1001F4}">
  <dimension ref="A1:K31"/>
  <sheetViews>
    <sheetView workbookViewId="0">
      <pane ySplit="4" topLeftCell="A5" activePane="bottomLeft" state="frozenSplit"/>
      <selection pane="bottomLeft" activeCell="H21" sqref="H21"/>
    </sheetView>
  </sheetViews>
  <sheetFormatPr defaultColWidth="9.125" defaultRowHeight="16.5" x14ac:dyDescent="0.3"/>
  <cols>
    <col min="1" max="2" width="4.75" style="6" customWidth="1"/>
    <col min="3" max="3" width="23.5" style="6" customWidth="1"/>
    <col min="4" max="4" width="11.5" style="6" customWidth="1"/>
    <col min="5" max="5" width="8.5" style="6" customWidth="1"/>
    <col min="6" max="6" width="49.75" style="6" customWidth="1"/>
    <col min="7" max="7" width="9.125" style="6" customWidth="1"/>
    <col min="8" max="8" width="9.125" style="17" customWidth="1"/>
    <col min="9" max="16384" width="9.125" style="6"/>
  </cols>
  <sheetData>
    <row r="1" spans="1:8" ht="24.95" customHeight="1" x14ac:dyDescent="0.3">
      <c r="A1" s="83" t="s">
        <v>234</v>
      </c>
      <c r="B1" s="82"/>
      <c r="C1" s="82"/>
      <c r="D1" s="82"/>
      <c r="E1" s="82"/>
      <c r="F1" s="82"/>
      <c r="G1" s="5" t="s">
        <v>109</v>
      </c>
      <c r="H1" s="18" t="s">
        <v>109</v>
      </c>
    </row>
    <row r="2" spans="1:8" ht="26.45" customHeight="1" x14ac:dyDescent="0.3">
      <c r="A2" s="1" t="s">
        <v>0</v>
      </c>
      <c r="F2" s="54" t="s">
        <v>235</v>
      </c>
      <c r="G2" s="19" t="str">
        <f ca="1">MID(CELL("filename",$A$1),FIND("]",CELL("filename",$A$1))+1,LEN(CELL("filename",$A$1)))</f>
        <v>공사원가계산서</v>
      </c>
    </row>
    <row r="3" spans="1:8" ht="26.45" customHeight="1" x14ac:dyDescent="0.3">
      <c r="A3" s="84" t="s">
        <v>237</v>
      </c>
      <c r="B3" s="85"/>
      <c r="C3" s="85"/>
      <c r="D3" s="86" t="s">
        <v>154</v>
      </c>
      <c r="E3" s="86" t="s">
        <v>238</v>
      </c>
      <c r="F3" s="86" t="s">
        <v>239</v>
      </c>
    </row>
    <row r="4" spans="1:8" ht="26.45" customHeight="1" x14ac:dyDescent="0.3">
      <c r="A4" s="88" t="s">
        <v>236</v>
      </c>
      <c r="B4" s="89"/>
      <c r="C4" s="89"/>
      <c r="D4" s="87"/>
      <c r="E4" s="87"/>
      <c r="F4" s="87"/>
      <c r="H4" s="3" t="str">
        <f>HYPERLINK("#'〓 목 차 〓'!B2","목차 →")</f>
        <v>목차 →</v>
      </c>
    </row>
    <row r="5" spans="1:8" ht="26.45" customHeight="1" x14ac:dyDescent="0.3">
      <c r="A5" s="92" t="s">
        <v>264</v>
      </c>
      <c r="B5" s="92" t="s">
        <v>6</v>
      </c>
      <c r="C5" s="46" t="s">
        <v>240</v>
      </c>
      <c r="D5" s="48">
        <f>총괄내역서!E11-D6+D7</f>
        <v>0</v>
      </c>
      <c r="E5" s="51">
        <f>D5/D31*100</f>
        <v>0</v>
      </c>
      <c r="F5" s="55"/>
      <c r="H5" s="3" t="str">
        <f ca="1">HYPERLINK("#"&amp;총괄내역서!H2&amp;"!E"&amp;ROW(총괄내역서!E11),"총괄표 →")</f>
        <v>총괄표 →</v>
      </c>
    </row>
    <row r="6" spans="1:8" ht="26.45" customHeight="1" x14ac:dyDescent="0.3">
      <c r="A6" s="93"/>
      <c r="B6" s="93"/>
      <c r="C6" s="46" t="s">
        <v>241</v>
      </c>
      <c r="D6" s="49">
        <v>0</v>
      </c>
      <c r="E6" s="51">
        <f>D6/D31*100</f>
        <v>0</v>
      </c>
      <c r="F6" s="56"/>
    </row>
    <row r="7" spans="1:8" ht="26.45" customHeight="1" x14ac:dyDescent="0.3">
      <c r="A7" s="93"/>
      <c r="B7" s="93"/>
      <c r="C7" s="46" t="s">
        <v>242</v>
      </c>
      <c r="D7" s="49">
        <v>0</v>
      </c>
      <c r="E7" s="51">
        <f>D7/D31*100</f>
        <v>0</v>
      </c>
      <c r="F7" s="56"/>
    </row>
    <row r="8" spans="1:8" ht="26.45" customHeight="1" x14ac:dyDescent="0.3">
      <c r="A8" s="93"/>
      <c r="B8" s="89"/>
      <c r="C8" s="14" t="s">
        <v>243</v>
      </c>
      <c r="D8" s="50">
        <f>+D5+D6-D7</f>
        <v>0</v>
      </c>
      <c r="E8" s="52">
        <f>D8/D31*100</f>
        <v>0</v>
      </c>
      <c r="F8" s="57"/>
    </row>
    <row r="9" spans="1:8" ht="26.45" customHeight="1" x14ac:dyDescent="0.3">
      <c r="A9" s="93"/>
      <c r="B9" s="92" t="s">
        <v>7</v>
      </c>
      <c r="C9" s="46" t="s">
        <v>244</v>
      </c>
      <c r="D9" s="48">
        <f>총괄내역서!F11</f>
        <v>0</v>
      </c>
      <c r="E9" s="51">
        <f>D9/D31*100</f>
        <v>0</v>
      </c>
      <c r="F9" s="55"/>
      <c r="H9" s="3" t="str">
        <f ca="1">HYPERLINK("#"&amp;총괄내역서!H2&amp;"!F"&amp;ROW(총괄내역서!F11),"총괄표 →")</f>
        <v>총괄표 →</v>
      </c>
    </row>
    <row r="10" spans="1:8" ht="26.45" customHeight="1" x14ac:dyDescent="0.3">
      <c r="A10" s="93"/>
      <c r="B10" s="93"/>
      <c r="C10" s="46" t="s">
        <v>245</v>
      </c>
      <c r="D10" s="48">
        <f>총괄내역서!D12</f>
        <v>0</v>
      </c>
      <c r="E10" s="51">
        <f>D10/D31*100</f>
        <v>0</v>
      </c>
      <c r="F10" s="58" t="str">
        <f>총괄내역서!E12</f>
        <v>직접노무비 x 16.2%</v>
      </c>
      <c r="H10" s="3" t="str">
        <f ca="1">HYPERLINK("#"&amp;총괄내역서!H2&amp;"!D"&amp;ROW(총괄내역서!D12),"총괄표 →")</f>
        <v>총괄표 →</v>
      </c>
    </row>
    <row r="11" spans="1:8" ht="26.45" customHeight="1" x14ac:dyDescent="0.3">
      <c r="A11" s="93"/>
      <c r="B11" s="89"/>
      <c r="C11" s="14" t="s">
        <v>243</v>
      </c>
      <c r="D11" s="50">
        <f>+D9+D10</f>
        <v>0</v>
      </c>
      <c r="E11" s="52">
        <f>D11/D31*100</f>
        <v>0</v>
      </c>
      <c r="F11" s="57"/>
    </row>
    <row r="12" spans="1:8" ht="26.45" customHeight="1" x14ac:dyDescent="0.3">
      <c r="A12" s="93"/>
      <c r="B12" s="92" t="s">
        <v>265</v>
      </c>
      <c r="C12" s="46" t="s">
        <v>246</v>
      </c>
      <c r="D12" s="48">
        <f>총괄내역서!G11</f>
        <v>0</v>
      </c>
      <c r="E12" s="51">
        <f>D12/D31*100</f>
        <v>0</v>
      </c>
      <c r="F12" s="55"/>
      <c r="H12" s="3" t="str">
        <f ca="1">HYPERLINK("#"&amp;총괄내역서!H2&amp;"!G"&amp;ROW(총괄내역서!G11),"총괄표 →")</f>
        <v>총괄표 →</v>
      </c>
    </row>
    <row r="13" spans="1:8" ht="26.45" customHeight="1" x14ac:dyDescent="0.3">
      <c r="A13" s="93"/>
      <c r="B13" s="93"/>
      <c r="C13" s="46" t="s">
        <v>247</v>
      </c>
      <c r="D13" s="48">
        <f>총괄내역서!D13</f>
        <v>0</v>
      </c>
      <c r="E13" s="51">
        <f>D13/D31*100</f>
        <v>0</v>
      </c>
      <c r="F13" s="58" t="str">
        <f>총괄내역서!E13</f>
        <v>(직접노무비+간접노무비) x 3.56%</v>
      </c>
      <c r="H13" s="3" t="str">
        <f ca="1">HYPERLINK("#"&amp;총괄내역서!H2&amp;"!D"&amp;ROW(총괄내역서!D13),"총괄표 →")</f>
        <v>총괄표 →</v>
      </c>
    </row>
    <row r="14" spans="1:8" ht="26.45" customHeight="1" x14ac:dyDescent="0.3">
      <c r="A14" s="93"/>
      <c r="B14" s="93"/>
      <c r="C14" s="46" t="s">
        <v>248</v>
      </c>
      <c r="D14" s="48">
        <f>총괄내역서!D14</f>
        <v>0</v>
      </c>
      <c r="E14" s="51">
        <f>D14/D31*100</f>
        <v>0</v>
      </c>
      <c r="F14" s="58" t="str">
        <f>총괄내역서!E14</f>
        <v>(직접노무비+간접노무비) x 1.01%</v>
      </c>
      <c r="H14" s="3" t="str">
        <f ca="1">HYPERLINK("#"&amp;총괄내역서!H2&amp;"!D"&amp;ROW(총괄내역서!D14),"총괄표 →")</f>
        <v>총괄표 →</v>
      </c>
    </row>
    <row r="15" spans="1:8" ht="26.45" customHeight="1" x14ac:dyDescent="0.3">
      <c r="A15" s="93"/>
      <c r="B15" s="93"/>
      <c r="C15" s="46" t="s">
        <v>249</v>
      </c>
      <c r="D15" s="48">
        <f>총괄내역서!D15</f>
        <v>0</v>
      </c>
      <c r="E15" s="51">
        <f>D15/D31*100</f>
        <v>0</v>
      </c>
      <c r="F15" s="58" t="str">
        <f>총괄내역서!E15</f>
        <v>직접노무비 x 3.595%</v>
      </c>
      <c r="H15" s="3" t="str">
        <f ca="1">HYPERLINK("#"&amp;총괄내역서!H2&amp;"!D"&amp;ROW(총괄내역서!D15),"총괄표 →")</f>
        <v>총괄표 →</v>
      </c>
    </row>
    <row r="16" spans="1:8" ht="26.45" customHeight="1" x14ac:dyDescent="0.3">
      <c r="A16" s="93"/>
      <c r="B16" s="93"/>
      <c r="C16" s="46" t="s">
        <v>250</v>
      </c>
      <c r="D16" s="48">
        <f>총괄내역서!D16</f>
        <v>0</v>
      </c>
      <c r="E16" s="51">
        <f>D16/D31*100</f>
        <v>0</v>
      </c>
      <c r="F16" s="58" t="str">
        <f>총괄내역서!E16</f>
        <v>건강보험료 x 13.14%</v>
      </c>
      <c r="H16" s="3" t="str">
        <f ca="1">HYPERLINK("#"&amp;총괄내역서!H2&amp;"!D"&amp;ROW(총괄내역서!D16),"총괄표 →")</f>
        <v>총괄표 →</v>
      </c>
    </row>
    <row r="17" spans="1:11" ht="26.45" customHeight="1" x14ac:dyDescent="0.3">
      <c r="A17" s="93"/>
      <c r="B17" s="93"/>
      <c r="C17" s="46" t="s">
        <v>251</v>
      </c>
      <c r="D17" s="48">
        <f>총괄내역서!D17</f>
        <v>0</v>
      </c>
      <c r="E17" s="51">
        <f>D17/D31*100</f>
        <v>0</v>
      </c>
      <c r="F17" s="58" t="str">
        <f>총괄내역서!E17</f>
        <v>직접노무비 x 4.75%</v>
      </c>
      <c r="H17" s="3" t="str">
        <f ca="1">HYPERLINK("#"&amp;총괄내역서!H2&amp;"!D"&amp;ROW(총괄내역서!D17),"총괄표 →")</f>
        <v>총괄표 →</v>
      </c>
      <c r="K17" s="80"/>
    </row>
    <row r="18" spans="1:11" ht="26.45" customHeight="1" x14ac:dyDescent="0.3">
      <c r="A18" s="93"/>
      <c r="B18" s="93"/>
      <c r="C18" s="46" t="s">
        <v>252</v>
      </c>
      <c r="D18" s="48">
        <f>총괄내역서!D18</f>
        <v>0</v>
      </c>
      <c r="E18" s="51">
        <f>D18/D31*100</f>
        <v>0</v>
      </c>
      <c r="F18" s="58" t="str">
        <f>총괄내역서!E18</f>
        <v>직접노무비 x 2.3%</v>
      </c>
      <c r="H18" s="3" t="str">
        <f ca="1">HYPERLINK("#"&amp;총괄내역서!H2&amp;"!D"&amp;ROW(총괄내역서!D18),"총괄표 →")</f>
        <v>총괄표 →</v>
      </c>
      <c r="K18" s="80"/>
    </row>
    <row r="19" spans="1:11" ht="26.45" customHeight="1" x14ac:dyDescent="0.3">
      <c r="A19" s="93"/>
      <c r="B19" s="93"/>
      <c r="C19" s="46" t="s">
        <v>253</v>
      </c>
      <c r="D19" s="48">
        <f>총괄내역서!D19</f>
        <v>0</v>
      </c>
      <c r="E19" s="51">
        <f>D19/D31*100</f>
        <v>0</v>
      </c>
      <c r="F19" s="58" t="str">
        <f>총괄내역서!E19</f>
        <v>(직노+직재+간재) x 2.07% = 0</v>
      </c>
      <c r="H19" s="3" t="str">
        <f ca="1">HYPERLINK("#"&amp;총괄내역서!H2&amp;"!D"&amp;ROW(총괄내역서!D19),"총괄표 →")</f>
        <v>총괄표 →</v>
      </c>
    </row>
    <row r="20" spans="1:11" ht="26.45" customHeight="1" x14ac:dyDescent="0.3">
      <c r="A20" s="93"/>
      <c r="B20" s="93"/>
      <c r="C20" s="46" t="s">
        <v>254</v>
      </c>
      <c r="D20" s="48">
        <f>총괄내역서!D20</f>
        <v>0</v>
      </c>
      <c r="E20" s="51">
        <f>D20/D31*100</f>
        <v>0</v>
      </c>
      <c r="F20" s="58" t="str">
        <f>총괄내역서!E20</f>
        <v>(직접노무비+간접노무비+재료비) x 4.6%</v>
      </c>
      <c r="H20" s="3" t="str">
        <f ca="1">HYPERLINK("#"&amp;총괄내역서!H2&amp;"!D"&amp;ROW(총괄내역서!D20),"총괄표 →")</f>
        <v>총괄표 →</v>
      </c>
    </row>
    <row r="21" spans="1:11" ht="26.45" customHeight="1" x14ac:dyDescent="0.3">
      <c r="A21" s="93"/>
      <c r="B21" s="93"/>
      <c r="C21" s="46" t="s">
        <v>255</v>
      </c>
      <c r="D21" s="48">
        <f>총괄내역서!D21</f>
        <v>0</v>
      </c>
      <c r="E21" s="51">
        <f>D21/D31*100</f>
        <v>0</v>
      </c>
      <c r="F21" s="58" t="str">
        <f>총괄내역서!E21</f>
        <v>(재료비 + 직접노무비 + 산출경비) x 0.3%</v>
      </c>
      <c r="H21" s="3" t="str">
        <f ca="1">HYPERLINK("#"&amp;총괄내역서!H2&amp;"!D"&amp;ROW(총괄내역서!D21),"총괄표 →")</f>
        <v>총괄표 →</v>
      </c>
    </row>
    <row r="22" spans="1:11" ht="26.45" customHeight="1" x14ac:dyDescent="0.3">
      <c r="A22" s="93"/>
      <c r="B22" s="93"/>
      <c r="C22" s="46" t="s">
        <v>256</v>
      </c>
      <c r="D22" s="48">
        <f>총괄내역서!D22</f>
        <v>0</v>
      </c>
      <c r="E22" s="51">
        <f>D22/D31*100</f>
        <v>0</v>
      </c>
      <c r="F22" s="58" t="str">
        <f>총괄내역서!E22</f>
        <v>(재료비 + 직접노무비 + 산출경비) x 0.16%</v>
      </c>
      <c r="H22" s="3" t="str">
        <f ca="1">HYPERLINK("#"&amp;총괄내역서!H2&amp;"!D"&amp;ROW(총괄내역서!D22),"총괄표 →")</f>
        <v>총괄표 →</v>
      </c>
    </row>
    <row r="23" spans="1:11" ht="26.45" customHeight="1" x14ac:dyDescent="0.3">
      <c r="A23" s="89"/>
      <c r="B23" s="89"/>
      <c r="C23" s="47" t="s">
        <v>243</v>
      </c>
      <c r="D23" s="50">
        <f>+D12+D13+D14+D15+D16+D17+D18+D19+D20+D21+D22</f>
        <v>0</v>
      </c>
      <c r="E23" s="52">
        <f>D23/D31*100</f>
        <v>0</v>
      </c>
      <c r="F23" s="57"/>
    </row>
    <row r="24" spans="1:11" ht="26.45" customHeight="1" x14ac:dyDescent="0.3">
      <c r="A24" s="94" t="s">
        <v>257</v>
      </c>
      <c r="B24" s="95"/>
      <c r="C24" s="96"/>
      <c r="D24" s="34">
        <f>총괄내역서!D24</f>
        <v>0</v>
      </c>
      <c r="E24" s="53">
        <f>D24/D31*100</f>
        <v>0</v>
      </c>
      <c r="F24" s="59" t="str">
        <f>"순공사원가 x "&amp;ROUND(총괄내역서!M24,5)&amp;"%"</f>
        <v>순공사원가 x 8%</v>
      </c>
      <c r="H24" s="3" t="str">
        <f ca="1">HYPERLINK("#"&amp;총괄내역서!H2&amp;"!D"&amp;ROW(총괄내역서!D24),"총괄표 →")</f>
        <v>총괄표 →</v>
      </c>
    </row>
    <row r="25" spans="1:11" ht="26.45" customHeight="1" x14ac:dyDescent="0.3">
      <c r="A25" s="97" t="s">
        <v>258</v>
      </c>
      <c r="B25" s="91"/>
      <c r="C25" s="91"/>
      <c r="D25" s="34">
        <f>총괄내역서!D26</f>
        <v>-438</v>
      </c>
      <c r="E25" s="53">
        <f>D25/D31*100</f>
        <v>-1.6467589302834456E-4</v>
      </c>
      <c r="F25" s="59" t="str">
        <f>"(노무비+경비+일반관리비) x "&amp;ROUND(총괄내역서!M26,5)&amp;"%"</f>
        <v>(노무비+경비+일반관리비) x 15%</v>
      </c>
      <c r="H25" s="3" t="str">
        <f ca="1">HYPERLINK("#"&amp;총괄내역서!H2&amp;"!D"&amp;ROW(총괄내역서!D26),"총괄표 →")</f>
        <v>총괄표 →</v>
      </c>
    </row>
    <row r="26" spans="1:11" ht="26.45" customHeight="1" x14ac:dyDescent="0.3">
      <c r="A26" s="97" t="s">
        <v>183</v>
      </c>
      <c r="B26" s="91"/>
      <c r="C26" s="91"/>
      <c r="D26" s="34">
        <f>총괄내역서!D27</f>
        <v>4498620</v>
      </c>
      <c r="E26" s="53">
        <f>D26/D31*100</f>
        <v>1.6913567714501629</v>
      </c>
      <c r="F26" s="26"/>
      <c r="H26" s="3" t="str">
        <f ca="1">HYPERLINK("#"&amp;총괄내역서!H2&amp;"!D"&amp;ROW(총괄내역서!D27),"총괄표 →")</f>
        <v>총괄표 →</v>
      </c>
    </row>
    <row r="27" spans="1:11" ht="26.45" customHeight="1" x14ac:dyDescent="0.3">
      <c r="A27" s="90" t="s">
        <v>259</v>
      </c>
      <c r="B27" s="91"/>
      <c r="C27" s="91"/>
      <c r="D27" s="34">
        <f>총괄내역서!D28</f>
        <v>4498182</v>
      </c>
      <c r="E27" s="53">
        <f>D27/D31*100</f>
        <v>1.6911920955571345</v>
      </c>
      <c r="F27" s="26"/>
      <c r="H27" s="3" t="str">
        <f ca="1">HYPERLINK("#"&amp;총괄내역서!H2&amp;"!D"&amp;ROW(총괄내역서!D28),"총괄표 →")</f>
        <v>총괄표 →</v>
      </c>
    </row>
    <row r="28" spans="1:11" ht="26.45" customHeight="1" x14ac:dyDescent="0.3">
      <c r="A28" s="97" t="s">
        <v>260</v>
      </c>
      <c r="B28" s="91"/>
      <c r="C28" s="91"/>
      <c r="D28" s="34">
        <f>총괄내역서!D29</f>
        <v>449818</v>
      </c>
      <c r="E28" s="53">
        <f>D28/D31*100</f>
        <v>0.16911913436124176</v>
      </c>
      <c r="F28" s="59" t="str">
        <f>"총 원 가 x "&amp;ROUND(총괄내역서!M29,5)&amp;"%"</f>
        <v>총 원 가 x 10%</v>
      </c>
      <c r="H28" s="3" t="str">
        <f ca="1">HYPERLINK("#"&amp;총괄내역서!H2&amp;"!D"&amp;ROW(총괄내역서!D29),"총괄표 →")</f>
        <v>총괄표 →</v>
      </c>
    </row>
    <row r="29" spans="1:11" ht="26.45" customHeight="1" x14ac:dyDescent="0.3">
      <c r="A29" s="90" t="s">
        <v>261</v>
      </c>
      <c r="B29" s="91"/>
      <c r="C29" s="91"/>
      <c r="D29" s="34">
        <f>총괄내역서!D30</f>
        <v>4948000</v>
      </c>
      <c r="E29" s="53">
        <f>D29/D31*100</f>
        <v>1.8603112299183762</v>
      </c>
      <c r="F29" s="26"/>
      <c r="H29" s="3" t="str">
        <f ca="1">HYPERLINK("#"&amp;총괄내역서!H2&amp;"!D"&amp;ROW(총괄내역서!D30),"총괄표 →")</f>
        <v>총괄표 →</v>
      </c>
    </row>
    <row r="30" spans="1:11" ht="26.45" customHeight="1" x14ac:dyDescent="0.3">
      <c r="A30" s="97" t="s">
        <v>262</v>
      </c>
      <c r="B30" s="91"/>
      <c r="C30" s="91"/>
      <c r="D30" s="34">
        <f>총괄내역서!D31</f>
        <v>261029000</v>
      </c>
      <c r="E30" s="53">
        <f>D30/D31*100</f>
        <v>98.139688770081619</v>
      </c>
      <c r="F30" s="59" t="str">
        <f>총괄내역서!E31</f>
        <v>원자재대: 261,028,633</v>
      </c>
      <c r="H30" s="3" t="str">
        <f ca="1">HYPERLINK("#"&amp;총괄내역서!H2&amp;"!D"&amp;ROW(총괄내역서!D31),"총괄표 →")</f>
        <v>총괄표 →</v>
      </c>
    </row>
    <row r="31" spans="1:11" ht="26.45" customHeight="1" x14ac:dyDescent="0.3">
      <c r="A31" s="90" t="s">
        <v>263</v>
      </c>
      <c r="B31" s="91"/>
      <c r="C31" s="91"/>
      <c r="D31" s="34">
        <f>총괄내역서!D32</f>
        <v>265977000</v>
      </c>
      <c r="E31" s="53">
        <v>100</v>
      </c>
      <c r="F31" s="26"/>
      <c r="H31" s="3" t="str">
        <f ca="1">HYPERLINK("#"&amp;총괄내역서!H2&amp;"!D"&amp;ROW(총괄내역서!D32),"총괄표 →")</f>
        <v>총괄표 →</v>
      </c>
    </row>
  </sheetData>
  <mergeCells count="18">
    <mergeCell ref="A31:C31"/>
    <mergeCell ref="A5:A23"/>
    <mergeCell ref="B5:B8"/>
    <mergeCell ref="B9:B11"/>
    <mergeCell ref="B12:B23"/>
    <mergeCell ref="A24:C24"/>
    <mergeCell ref="A25:C25"/>
    <mergeCell ref="A26:C26"/>
    <mergeCell ref="A27:C27"/>
    <mergeCell ref="A28:C28"/>
    <mergeCell ref="A29:C29"/>
    <mergeCell ref="A30:C30"/>
    <mergeCell ref="A1:F1"/>
    <mergeCell ref="A3:C3"/>
    <mergeCell ref="D3:D4"/>
    <mergeCell ref="E3:E4"/>
    <mergeCell ref="F3:F4"/>
    <mergeCell ref="A4:C4"/>
  </mergeCells>
  <phoneticPr fontId="21" type="noConversion"/>
  <hyperlinks>
    <hyperlink ref="H1" r:id="rId1" tooltip="설계예산시스템(STmate w26.02)으로 작성 하였으며,_x000a_엑셀 인쇄품질 600 dpi에 최적화 되어 있습니다._x000a_경영정보(주) http://www.stma.co.kr_x000a_Tel) 070-4350-0040_x000a_Fax) 0505-300-3948" xr:uid="{56517AA7-CCB6-484F-AF6C-0E1F23F00F99}"/>
    <hyperlink ref="G1" r:id="rId2" tooltip="설계예산시스템(STmate w26.02)으로 작성 하였으며,_x000a_엑셀 인쇄품질 600 dpi에 최적화 되어 있습니다._x000a_경영정보(주) http://www.stma.co.kr_x000a_Tel) 070-4350-0040_x000a_Fax) 0505-300-3948" xr:uid="{6C94467A-B13C-4080-86C9-9C91E1D7E902}"/>
  </hyperlinks>
  <printOptions horizontalCentered="1"/>
  <pageMargins left="0.59055118110236215" right="0.59055118110236215" top="0.78740157480314965" bottom="0.74803149606299202" header="0" footer="0.55118110236220463"/>
  <pageSetup paperSize="9" scale="80" fitToWidth="0" fitToHeight="0" orientation="portrait" r:id="rId3"/>
  <headerFooter alignWithMargins="0">
    <oddFooter xml:space="preserve">&amp;C&amp;"굴림체,"&amp;9 - &amp;P -&amp;R&amp;"굴림체,"&amp;9 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D59F-80CB-4C55-902D-236955DA72CD}">
  <dimension ref="A1:Q32"/>
  <sheetViews>
    <sheetView workbookViewId="0">
      <pane ySplit="3" topLeftCell="A4" activePane="bottomLeft" state="frozenSplit"/>
      <selection pane="bottomLeft" activeCell="Q4" sqref="Q4"/>
    </sheetView>
  </sheetViews>
  <sheetFormatPr defaultColWidth="9.125" defaultRowHeight="16.5" x14ac:dyDescent="0.3"/>
  <cols>
    <col min="1" max="1" width="10" style="6" customWidth="1"/>
    <col min="2" max="2" width="26.5" style="6" customWidth="1"/>
    <col min="3" max="3" width="22.75" style="6" customWidth="1"/>
    <col min="4" max="7" width="17.5" style="6" customWidth="1"/>
    <col min="8" max="8" width="9.125" style="15" hidden="1" customWidth="1"/>
    <col min="9" max="12" width="2.125" style="6" customWidth="1"/>
    <col min="13" max="16" width="4" style="6" customWidth="1"/>
    <col min="17" max="17" width="9.125" style="17" customWidth="1"/>
    <col min="18" max="16384" width="9.125" style="6"/>
  </cols>
  <sheetData>
    <row r="1" spans="1:17" ht="24.95" customHeight="1" x14ac:dyDescent="0.3">
      <c r="A1" s="83" t="s">
        <v>161</v>
      </c>
      <c r="B1" s="82"/>
      <c r="C1" s="82"/>
      <c r="D1" s="82"/>
      <c r="E1" s="82"/>
      <c r="F1" s="82"/>
      <c r="G1" s="82"/>
      <c r="H1" s="18" t="s">
        <v>109</v>
      </c>
      <c r="Q1" s="18" t="s">
        <v>109</v>
      </c>
    </row>
    <row r="2" spans="1:17" ht="19.5" customHeight="1" x14ac:dyDescent="0.3">
      <c r="A2" s="1" t="s">
        <v>0</v>
      </c>
      <c r="H2" s="19" t="str">
        <f ca="1">MID(CELL("filename",$A$1),FIND("]",CELL("filename",$A$1))+1,LEN(CELL("filename",$A$1)))</f>
        <v>총괄내역서</v>
      </c>
    </row>
    <row r="3" spans="1:17" ht="19.5" customHeight="1" x14ac:dyDescent="0.3">
      <c r="A3" s="8" t="s">
        <v>152</v>
      </c>
      <c r="B3" s="8" t="s">
        <v>2</v>
      </c>
      <c r="C3" s="8" t="s">
        <v>3</v>
      </c>
      <c r="D3" s="8" t="s">
        <v>5</v>
      </c>
      <c r="E3" s="8" t="s">
        <v>6</v>
      </c>
      <c r="F3" s="8" t="s">
        <v>7</v>
      </c>
      <c r="G3" s="14" t="s">
        <v>8</v>
      </c>
      <c r="H3" s="16" t="s">
        <v>184</v>
      </c>
      <c r="I3" s="101" t="s">
        <v>233</v>
      </c>
      <c r="J3" s="82"/>
      <c r="K3" s="82"/>
      <c r="L3" s="82"/>
      <c r="M3" s="82"/>
      <c r="N3" s="82"/>
      <c r="O3" s="82"/>
      <c r="P3" s="82"/>
      <c r="Q3" s="3" t="str">
        <f>HYPERLINK("#'〓 목 차 〓'!B2","목차 →")</f>
        <v>목차 →</v>
      </c>
    </row>
    <row r="4" spans="1:17" ht="19.5" customHeight="1" x14ac:dyDescent="0.3">
      <c r="A4" s="10" t="s">
        <v>156</v>
      </c>
      <c r="B4" s="102" t="s">
        <v>157</v>
      </c>
      <c r="C4" s="103"/>
      <c r="D4" s="34">
        <f>설계내역서!G5</f>
        <v>0</v>
      </c>
      <c r="E4" s="42">
        <f>설계내역서!I5</f>
        <v>0</v>
      </c>
      <c r="F4" s="38">
        <f>설계내역서!K5</f>
        <v>0</v>
      </c>
      <c r="G4" s="34">
        <f>설계내역서!M5</f>
        <v>0</v>
      </c>
      <c r="Q4" s="3" t="str">
        <f ca="1">HYPERLINK("#"&amp;설계내역서!O2&amp;"!A"&amp;ROW(설계내역서!A5),"내역 →")</f>
        <v>내역 →</v>
      </c>
    </row>
    <row r="5" spans="1:17" ht="19.5" customHeight="1" x14ac:dyDescent="0.3">
      <c r="A5" s="10" t="s">
        <v>159</v>
      </c>
      <c r="B5" s="10" t="s">
        <v>160</v>
      </c>
      <c r="C5" s="10"/>
      <c r="D5" s="34">
        <f>설계내역서!G6</f>
        <v>0</v>
      </c>
      <c r="E5" s="42">
        <f>설계내역서!I6</f>
        <v>0</v>
      </c>
      <c r="F5" s="38">
        <f>설계내역서!K6</f>
        <v>0</v>
      </c>
      <c r="G5" s="34">
        <f>설계내역서!M6</f>
        <v>0</v>
      </c>
      <c r="Q5" s="3" t="str">
        <f ca="1">HYPERLINK("#"&amp;설계내역서!O2&amp;"!A"&amp;ROW(설계내역서!A6),"내역 →")</f>
        <v>내역 →</v>
      </c>
    </row>
    <row r="6" spans="1:17" ht="19.5" customHeight="1" x14ac:dyDescent="0.3">
      <c r="A6" s="10" t="s">
        <v>164</v>
      </c>
      <c r="B6" s="10" t="s">
        <v>168</v>
      </c>
      <c r="C6" s="10"/>
      <c r="D6" s="34">
        <f>설계내역서!G66</f>
        <v>0</v>
      </c>
      <c r="E6" s="42">
        <f>설계내역서!I66</f>
        <v>0</v>
      </c>
      <c r="F6" s="38">
        <f>설계내역서!K66</f>
        <v>0</v>
      </c>
      <c r="G6" s="34">
        <f>설계내역서!M66</f>
        <v>0</v>
      </c>
      <c r="Q6" s="3" t="str">
        <f ca="1">HYPERLINK("#"&amp;설계내역서!O2&amp;"!A"&amp;ROW(설계내역서!A66),"내역 →")</f>
        <v>내역 →</v>
      </c>
    </row>
    <row r="7" spans="1:17" ht="19.5" customHeight="1" x14ac:dyDescent="0.3">
      <c r="A7" s="10" t="s">
        <v>175</v>
      </c>
      <c r="B7" s="10" t="s">
        <v>127</v>
      </c>
      <c r="C7" s="10"/>
      <c r="D7" s="34">
        <f>설계내역서!G69</f>
        <v>0</v>
      </c>
      <c r="E7" s="42">
        <f>설계내역서!I69</f>
        <v>0</v>
      </c>
      <c r="F7" s="38">
        <f>설계내역서!K69</f>
        <v>0</v>
      </c>
      <c r="G7" s="34">
        <f>설계내역서!M69</f>
        <v>0</v>
      </c>
      <c r="Q7" s="3" t="str">
        <f ca="1">HYPERLINK("#"&amp;설계내역서!O2&amp;"!A"&amp;ROW(설계내역서!A69),"내역 →")</f>
        <v>내역 →</v>
      </c>
    </row>
    <row r="8" spans="1:17" ht="19.5" customHeight="1" x14ac:dyDescent="0.3">
      <c r="A8" s="10" t="s">
        <v>176</v>
      </c>
      <c r="B8" s="10" t="s">
        <v>177</v>
      </c>
      <c r="C8" s="10"/>
      <c r="D8" s="34">
        <f>설계내역서!G72</f>
        <v>0</v>
      </c>
      <c r="E8" s="42">
        <f>설계내역서!I72</f>
        <v>0</v>
      </c>
      <c r="F8" s="38">
        <f>설계내역서!K72</f>
        <v>0</v>
      </c>
      <c r="G8" s="34">
        <f>설계내역서!M72</f>
        <v>0</v>
      </c>
      <c r="Q8" s="3" t="str">
        <f ca="1">HYPERLINK("#"&amp;설계내역서!O2&amp;"!A"&amp;ROW(설계내역서!A72),"내역 →")</f>
        <v>내역 →</v>
      </c>
    </row>
    <row r="9" spans="1:17" ht="19.5" customHeight="1" x14ac:dyDescent="0.3">
      <c r="A9" s="10" t="s">
        <v>158</v>
      </c>
      <c r="B9" s="10" t="s">
        <v>178</v>
      </c>
      <c r="C9" s="10"/>
      <c r="D9" s="34">
        <f>설계내역서!G80</f>
        <v>0</v>
      </c>
      <c r="E9" s="42">
        <f>설계내역서!I80</f>
        <v>0</v>
      </c>
      <c r="F9" s="38">
        <f>설계내역서!K80</f>
        <v>0</v>
      </c>
      <c r="G9" s="34">
        <f>설계내역서!M80</f>
        <v>0</v>
      </c>
      <c r="Q9" s="3" t="str">
        <f ca="1">HYPERLINK("#"&amp;설계내역서!O2&amp;"!A"&amp;ROW(설계내역서!A80),"내역 →")</f>
        <v>내역 →</v>
      </c>
    </row>
    <row r="10" spans="1:17" ht="19.5" customHeight="1" x14ac:dyDescent="0.3">
      <c r="A10" s="10" t="s">
        <v>182</v>
      </c>
      <c r="B10" s="10" t="s">
        <v>183</v>
      </c>
      <c r="C10" s="10"/>
      <c r="D10" s="34">
        <f>설계내역서!G91</f>
        <v>0</v>
      </c>
      <c r="E10" s="42">
        <f>설계내역서!I91</f>
        <v>0</v>
      </c>
      <c r="F10" s="38">
        <f>설계내역서!K91</f>
        <v>0</v>
      </c>
      <c r="G10" s="34">
        <f>설계내역서!M91</f>
        <v>0</v>
      </c>
      <c r="Q10" s="3" t="str">
        <f ca="1">HYPERLINK("#"&amp;설계내역서!O2&amp;"!A"&amp;ROW(설계내역서!A91),"내역 →")</f>
        <v>내역 →</v>
      </c>
    </row>
    <row r="11" spans="1:17" ht="19.5" customHeight="1" x14ac:dyDescent="0.3">
      <c r="A11" s="10" t="s">
        <v>185</v>
      </c>
      <c r="B11" s="10" t="s">
        <v>186</v>
      </c>
      <c r="C11" s="10"/>
      <c r="D11" s="34">
        <f>설계내역서!G105</f>
        <v>0</v>
      </c>
      <c r="E11" s="42">
        <f>설계내역서!I105</f>
        <v>0</v>
      </c>
      <c r="F11" s="38">
        <f>설계내역서!K105</f>
        <v>0</v>
      </c>
      <c r="G11" s="34">
        <f>설계내역서!M105</f>
        <v>0</v>
      </c>
      <c r="Q11" s="3" t="str">
        <f ca="1">HYPERLINK("#"&amp;설계내역서!O2&amp;"!A"&amp;ROW(설계내역서!A105),"내역 →")</f>
        <v>내역 →</v>
      </c>
    </row>
    <row r="12" spans="1:17" ht="19.5" customHeight="1" x14ac:dyDescent="0.3">
      <c r="A12" s="10"/>
      <c r="B12" s="10" t="s">
        <v>187</v>
      </c>
      <c r="C12" s="10"/>
      <c r="D12" s="34">
        <f>ROUNDDOWN(F11*M12/100,0)</f>
        <v>0</v>
      </c>
      <c r="E12" s="98" t="str">
        <f>"직접노무비 x "&amp;ROUND(M12,5)&amp;"%"</f>
        <v>직접노무비 x 16.2%</v>
      </c>
      <c r="F12" s="99"/>
      <c r="G12" s="100"/>
      <c r="H12" s="16" t="s">
        <v>188</v>
      </c>
      <c r="I12" s="23">
        <v>0</v>
      </c>
      <c r="M12" s="45">
        <v>16.2</v>
      </c>
      <c r="N12" s="23">
        <v>0</v>
      </c>
      <c r="O12" s="23">
        <v>0</v>
      </c>
      <c r="P12" s="23">
        <v>0</v>
      </c>
    </row>
    <row r="13" spans="1:17" ht="19.5" customHeight="1" x14ac:dyDescent="0.3">
      <c r="A13" s="10"/>
      <c r="B13" s="10" t="s">
        <v>189</v>
      </c>
      <c r="C13" s="10"/>
      <c r="D13" s="34">
        <f>ROUNDDOWN(((F11+D12))*M13/100,0)</f>
        <v>0</v>
      </c>
      <c r="E13" s="98" t="str">
        <f>"(직접노무비+간접노무비) x "&amp;ROUND(M13,5)&amp;"%"</f>
        <v>(직접노무비+간접노무비) x 3.56%</v>
      </c>
      <c r="F13" s="99"/>
      <c r="G13" s="100"/>
      <c r="H13" s="16" t="s">
        <v>190</v>
      </c>
      <c r="I13" s="23">
        <v>0</v>
      </c>
      <c r="M13" s="45">
        <v>3.56</v>
      </c>
      <c r="N13" s="23">
        <v>0</v>
      </c>
      <c r="O13" s="23">
        <v>0</v>
      </c>
      <c r="P13" s="23">
        <v>0</v>
      </c>
    </row>
    <row r="14" spans="1:17" ht="19.5" customHeight="1" x14ac:dyDescent="0.3">
      <c r="A14" s="10"/>
      <c r="B14" s="10" t="s">
        <v>191</v>
      </c>
      <c r="C14" s="10"/>
      <c r="D14" s="34">
        <f>ROUNDDOWN(((F11+D12))*M14/100,0)</f>
        <v>0</v>
      </c>
      <c r="E14" s="98" t="str">
        <f>"(직접노무비+간접노무비) x "&amp;ROUND(M14,5)&amp;"%"</f>
        <v>(직접노무비+간접노무비) x 1.01%</v>
      </c>
      <c r="F14" s="99"/>
      <c r="G14" s="100"/>
      <c r="H14" s="16" t="s">
        <v>192</v>
      </c>
      <c r="I14" s="23">
        <v>0</v>
      </c>
      <c r="M14" s="45">
        <v>1.01</v>
      </c>
      <c r="N14" s="23">
        <v>0</v>
      </c>
      <c r="O14" s="23">
        <v>0</v>
      </c>
      <c r="P14" s="23">
        <v>0</v>
      </c>
    </row>
    <row r="15" spans="1:17" ht="19.5" customHeight="1" x14ac:dyDescent="0.3">
      <c r="A15" s="10"/>
      <c r="B15" s="10" t="s">
        <v>193</v>
      </c>
      <c r="C15" s="10"/>
      <c r="D15" s="34">
        <f>ROUNDDOWN((F11)*M15/100,0)</f>
        <v>0</v>
      </c>
      <c r="E15" s="98" t="str">
        <f>"직접노무비 x "&amp;ROUND(M15,5)&amp;"%"</f>
        <v>직접노무비 x 3.595%</v>
      </c>
      <c r="F15" s="99"/>
      <c r="G15" s="100"/>
      <c r="H15" s="16" t="s">
        <v>194</v>
      </c>
      <c r="I15" s="23">
        <v>0</v>
      </c>
      <c r="J15" s="35">
        <f>F11</f>
        <v>0</v>
      </c>
      <c r="M15" s="45">
        <v>3.5950000000000002</v>
      </c>
      <c r="N15" s="23">
        <v>0</v>
      </c>
      <c r="O15" s="23">
        <v>0</v>
      </c>
      <c r="P15" s="23">
        <v>0</v>
      </c>
    </row>
    <row r="16" spans="1:17" ht="19.5" customHeight="1" x14ac:dyDescent="0.3">
      <c r="A16" s="10"/>
      <c r="B16" s="10" t="s">
        <v>195</v>
      </c>
      <c r="C16" s="10"/>
      <c r="D16" s="34">
        <f>ROUNDDOWN(D15*M16/100,0)</f>
        <v>0</v>
      </c>
      <c r="E16" s="98" t="str">
        <f>"건강보험료 x "&amp;ROUND(M16,5)&amp;"%"</f>
        <v>건강보험료 x 13.14%</v>
      </c>
      <c r="F16" s="99"/>
      <c r="G16" s="100"/>
      <c r="H16" s="16" t="s">
        <v>196</v>
      </c>
      <c r="I16" s="23">
        <v>0</v>
      </c>
      <c r="J16" s="35">
        <f>D15</f>
        <v>0</v>
      </c>
      <c r="M16" s="45">
        <v>13.14</v>
      </c>
      <c r="N16" s="23">
        <v>0</v>
      </c>
      <c r="O16" s="23">
        <v>0</v>
      </c>
      <c r="P16" s="23">
        <v>0</v>
      </c>
    </row>
    <row r="17" spans="1:16" ht="19.5" customHeight="1" x14ac:dyDescent="0.3">
      <c r="A17" s="10"/>
      <c r="B17" s="10" t="s">
        <v>197</v>
      </c>
      <c r="C17" s="10"/>
      <c r="D17" s="34">
        <f>ROUNDDOWN((F11)*M17/100,0)</f>
        <v>0</v>
      </c>
      <c r="E17" s="98" t="str">
        <f>"직접노무비 x "&amp;ROUND(M17,5)&amp;"%"</f>
        <v>직접노무비 x 4.75%</v>
      </c>
      <c r="F17" s="99"/>
      <c r="G17" s="100"/>
      <c r="H17" s="16" t="s">
        <v>198</v>
      </c>
      <c r="I17" s="23">
        <v>0</v>
      </c>
      <c r="J17" s="35">
        <f>F11</f>
        <v>0</v>
      </c>
      <c r="M17" s="45">
        <v>4.75</v>
      </c>
      <c r="N17" s="23">
        <v>0</v>
      </c>
      <c r="O17" s="23">
        <v>0</v>
      </c>
      <c r="P17" s="23">
        <v>0</v>
      </c>
    </row>
    <row r="18" spans="1:16" ht="19.5" customHeight="1" x14ac:dyDescent="0.3">
      <c r="A18" s="10"/>
      <c r="B18" s="10" t="s">
        <v>199</v>
      </c>
      <c r="C18" s="10"/>
      <c r="D18" s="34">
        <f>ROUNDDOWN((F11)*M18/100,0)</f>
        <v>0</v>
      </c>
      <c r="E18" s="98" t="str">
        <f>"직접노무비 x "&amp;ROUND(M18,5)&amp;"%"</f>
        <v>직접노무비 x 2.3%</v>
      </c>
      <c r="F18" s="99"/>
      <c r="G18" s="100"/>
      <c r="H18" s="16" t="s">
        <v>200</v>
      </c>
      <c r="I18" s="23">
        <v>0</v>
      </c>
      <c r="J18" s="35">
        <f>F11</f>
        <v>0</v>
      </c>
      <c r="M18" s="45">
        <v>2.2999999999999998</v>
      </c>
      <c r="N18" s="23">
        <v>0</v>
      </c>
      <c r="O18" s="23">
        <v>0</v>
      </c>
      <c r="P18" s="23">
        <v>0</v>
      </c>
    </row>
    <row r="19" spans="1:16" ht="19.5" customHeight="1" x14ac:dyDescent="0.3">
      <c r="A19" s="10"/>
      <c r="B19" s="10" t="s">
        <v>201</v>
      </c>
      <c r="C19" s="10"/>
      <c r="D19" s="34">
        <f>ROUNDDOWN(((F11+(E11)))*M19/100,0)</f>
        <v>0</v>
      </c>
      <c r="E19" s="98" t="str">
        <f>"(직노+직재+간재) x "&amp;ROUND(M19,5)&amp;"% = "&amp;TEXT(D19,"#,0")&amp;""</f>
        <v>(직노+직재+간재) x 2.07% = 0</v>
      </c>
      <c r="F19" s="99"/>
      <c r="G19" s="100"/>
      <c r="H19" s="16" t="s">
        <v>202</v>
      </c>
      <c r="I19" s="23">
        <v>0</v>
      </c>
      <c r="J19" s="35">
        <f>((F11+(E11)))</f>
        <v>0</v>
      </c>
      <c r="M19" s="45">
        <v>2.0699999999999998</v>
      </c>
      <c r="N19" s="23">
        <v>0</v>
      </c>
      <c r="O19" s="23">
        <v>0</v>
      </c>
      <c r="P19" s="23">
        <v>0</v>
      </c>
    </row>
    <row r="20" spans="1:16" ht="19.5" customHeight="1" x14ac:dyDescent="0.3">
      <c r="A20" s="10"/>
      <c r="B20" s="10" t="s">
        <v>203</v>
      </c>
      <c r="C20" s="10"/>
      <c r="D20" s="34">
        <f>ROUNDDOWN(((((F11+D12)+(E11))))*M20/100,0)</f>
        <v>0</v>
      </c>
      <c r="E20" s="98" t="str">
        <f>"(직접노무비+간접노무비+재료비) x "&amp;ROUND(M20,5)&amp;"%"</f>
        <v>(직접노무비+간접노무비+재료비) x 4.6%</v>
      </c>
      <c r="F20" s="99"/>
      <c r="G20" s="100"/>
      <c r="H20" s="16" t="s">
        <v>204</v>
      </c>
      <c r="I20" s="23">
        <v>0</v>
      </c>
      <c r="M20" s="45">
        <v>4.5999999999999996</v>
      </c>
      <c r="N20" s="23">
        <v>0</v>
      </c>
      <c r="O20" s="23">
        <v>0</v>
      </c>
      <c r="P20" s="23">
        <v>0</v>
      </c>
    </row>
    <row r="21" spans="1:16" ht="19.5" customHeight="1" x14ac:dyDescent="0.3">
      <c r="A21" s="10"/>
      <c r="B21" s="10" t="s">
        <v>205</v>
      </c>
      <c r="C21" s="10"/>
      <c r="D21" s="34">
        <f>ROUNDDOWN((D11)*M21/100,0)</f>
        <v>0</v>
      </c>
      <c r="E21" s="98" t="str">
        <f>"(재료비 + 직접노무비 + 산출경비) x "&amp;ROUND(M21,5)&amp;"%"</f>
        <v>(재료비 + 직접노무비 + 산출경비) x 0.3%</v>
      </c>
      <c r="F21" s="99"/>
      <c r="G21" s="100"/>
      <c r="H21" s="16" t="s">
        <v>206</v>
      </c>
      <c r="I21" s="23">
        <v>0</v>
      </c>
      <c r="M21" s="45">
        <v>0.3</v>
      </c>
      <c r="N21" s="23">
        <v>0</v>
      </c>
      <c r="O21" s="23">
        <v>0</v>
      </c>
      <c r="P21" s="23">
        <v>0</v>
      </c>
    </row>
    <row r="22" spans="1:16" ht="19.5" customHeight="1" x14ac:dyDescent="0.3">
      <c r="A22" s="10"/>
      <c r="B22" s="10" t="s">
        <v>207</v>
      </c>
      <c r="C22" s="10"/>
      <c r="D22" s="34">
        <f>ROUNDDOWN((D11)*M22/100,0)</f>
        <v>0</v>
      </c>
      <c r="E22" s="98" t="str">
        <f>"(재료비 + 직접노무비 + 산출경비) x "&amp;ROUND(M22,5)&amp;"%"</f>
        <v>(재료비 + 직접노무비 + 산출경비) x 0.16%</v>
      </c>
      <c r="F22" s="99"/>
      <c r="G22" s="100"/>
      <c r="H22" s="16" t="s">
        <v>208</v>
      </c>
      <c r="I22" s="23">
        <v>0</v>
      </c>
      <c r="M22" s="45">
        <v>0.16</v>
      </c>
      <c r="N22" s="23">
        <v>0</v>
      </c>
      <c r="O22" s="23">
        <v>0</v>
      </c>
      <c r="P22" s="23">
        <v>0</v>
      </c>
    </row>
    <row r="23" spans="1:16" ht="19.5" customHeight="1" x14ac:dyDescent="0.3">
      <c r="A23" s="10" t="s">
        <v>209</v>
      </c>
      <c r="B23" s="10" t="s">
        <v>210</v>
      </c>
      <c r="C23" s="10"/>
      <c r="D23" s="34">
        <f>(D11+D12+D13+D14+D15+D16+D17+D18+D19+D20+D21+D22)</f>
        <v>0</v>
      </c>
      <c r="E23" s="104"/>
      <c r="F23" s="99"/>
      <c r="G23" s="100"/>
      <c r="H23" s="16" t="s">
        <v>211</v>
      </c>
      <c r="I23" s="23">
        <v>0</v>
      </c>
      <c r="M23" s="23">
        <v>0</v>
      </c>
      <c r="N23" s="23">
        <v>0</v>
      </c>
      <c r="O23" s="23">
        <v>0</v>
      </c>
      <c r="P23" s="23">
        <v>0</v>
      </c>
    </row>
    <row r="24" spans="1:16" ht="19.5" customHeight="1" x14ac:dyDescent="0.3">
      <c r="A24" s="10"/>
      <c r="B24" s="10" t="s">
        <v>212</v>
      </c>
      <c r="C24" s="10"/>
      <c r="D24" s="34">
        <f>ROUNDDOWN(((D23)+0)*M24/100,0)</f>
        <v>0</v>
      </c>
      <c r="E24" s="98" t="str">
        <f>"(나.소  계) x "&amp;ROUND(M24,5)&amp;"%"</f>
        <v>(나.소  계) x 8%</v>
      </c>
      <c r="F24" s="99"/>
      <c r="G24" s="100"/>
      <c r="H24" s="16" t="s">
        <v>213</v>
      </c>
      <c r="I24" s="23">
        <v>0</v>
      </c>
      <c r="M24" s="44">
        <v>8</v>
      </c>
      <c r="N24" s="23">
        <v>0</v>
      </c>
      <c r="O24" s="23">
        <v>0</v>
      </c>
      <c r="P24" s="23">
        <v>0</v>
      </c>
    </row>
    <row r="25" spans="1:16" ht="19.5" customHeight="1" x14ac:dyDescent="0.3">
      <c r="A25" s="10" t="s">
        <v>214</v>
      </c>
      <c r="B25" s="10" t="s">
        <v>210</v>
      </c>
      <c r="C25" s="10"/>
      <c r="D25" s="34">
        <f>(D23+D24)</f>
        <v>0</v>
      </c>
      <c r="E25" s="104"/>
      <c r="F25" s="99"/>
      <c r="G25" s="100"/>
      <c r="H25" s="16" t="s">
        <v>215</v>
      </c>
      <c r="I25" s="23">
        <v>3</v>
      </c>
      <c r="J25" s="35">
        <f>D25</f>
        <v>0</v>
      </c>
      <c r="L25" s="35">
        <f>D25</f>
        <v>0</v>
      </c>
      <c r="M25" s="23">
        <v>0</v>
      </c>
      <c r="N25" s="23">
        <v>0</v>
      </c>
      <c r="O25" s="23">
        <v>0</v>
      </c>
      <c r="P25" s="23">
        <v>0</v>
      </c>
    </row>
    <row r="26" spans="1:16" ht="19.5" customHeight="1" x14ac:dyDescent="0.3">
      <c r="A26" s="10"/>
      <c r="B26" s="10" t="s">
        <v>216</v>
      </c>
      <c r="C26" s="10"/>
      <c r="D26" s="34">
        <f>ROUNDDOWN(((D25)-(E11))*M26/100,0)-I26-K26</f>
        <v>-438</v>
      </c>
      <c r="E26" s="98" t="str">
        <f>"(다.소계 - 재료비) x "&amp;ROUND(M26,5)&amp;"% = "&amp;TEXT(J26,"#,##0")</f>
        <v>(다.소계 - 재료비) x 15% = 0</v>
      </c>
      <c r="F26" s="99"/>
      <c r="G26" s="100"/>
      <c r="H26" s="16" t="s">
        <v>217</v>
      </c>
      <c r="I26" s="43">
        <f>ROUND((J32-ROUNDDOWN(J32,-I25))/1.1,0)</f>
        <v>438</v>
      </c>
      <c r="J26" s="35">
        <f>ROUNDDOWN(((J25)-(E11))*M26/100,0)</f>
        <v>0</v>
      </c>
      <c r="K26" s="35">
        <f>ABS(L32-ROUNDDOWN(J32,-I25))*IF(L32&gt;ROUNDDOWN(J32,-I25),1,-1)</f>
        <v>0</v>
      </c>
      <c r="L26" s="35">
        <f>ROUNDDOWN(((L25)-(E11))*M26/100,0)-I26</f>
        <v>-438</v>
      </c>
      <c r="M26" s="44">
        <v>15</v>
      </c>
      <c r="N26" s="23">
        <v>0</v>
      </c>
      <c r="O26" s="23">
        <v>0</v>
      </c>
      <c r="P26" s="23">
        <v>0</v>
      </c>
    </row>
    <row r="27" spans="1:16" ht="19.5" customHeight="1" x14ac:dyDescent="0.3">
      <c r="A27" s="10"/>
      <c r="B27" s="10" t="s">
        <v>218</v>
      </c>
      <c r="C27" s="10"/>
      <c r="D27" s="11">
        <v>4498620</v>
      </c>
      <c r="E27" s="104"/>
      <c r="F27" s="99"/>
      <c r="G27" s="100"/>
      <c r="H27" s="16" t="s">
        <v>219</v>
      </c>
      <c r="I27" s="23">
        <v>0</v>
      </c>
      <c r="J27" s="35">
        <f>D27</f>
        <v>4498620</v>
      </c>
      <c r="L27" s="35">
        <f>D27</f>
        <v>4498620</v>
      </c>
      <c r="M27" s="23">
        <v>0</v>
      </c>
      <c r="N27" s="23">
        <v>0</v>
      </c>
      <c r="O27" s="23">
        <v>0</v>
      </c>
      <c r="P27" s="23">
        <v>0</v>
      </c>
    </row>
    <row r="28" spans="1:16" ht="19.5" customHeight="1" x14ac:dyDescent="0.3">
      <c r="A28" s="10" t="s">
        <v>220</v>
      </c>
      <c r="B28" s="10" t="s">
        <v>221</v>
      </c>
      <c r="C28" s="10"/>
      <c r="D28" s="34">
        <f>(D25+D26+D27)</f>
        <v>4498182</v>
      </c>
      <c r="E28" s="104"/>
      <c r="F28" s="99"/>
      <c r="G28" s="100"/>
      <c r="H28" s="16" t="s">
        <v>222</v>
      </c>
      <c r="I28" s="23">
        <v>0</v>
      </c>
      <c r="J28" s="35">
        <f>(J25+J26+J27)</f>
        <v>4498620</v>
      </c>
      <c r="L28" s="35">
        <f>(L25+L26+L27)</f>
        <v>4498182</v>
      </c>
      <c r="M28" s="23">
        <v>0</v>
      </c>
      <c r="N28" s="23">
        <v>0</v>
      </c>
      <c r="O28" s="23">
        <v>0</v>
      </c>
      <c r="P28" s="23">
        <v>0</v>
      </c>
    </row>
    <row r="29" spans="1:16" ht="19.5" customHeight="1" x14ac:dyDescent="0.3">
      <c r="A29" s="10"/>
      <c r="B29" s="10" t="s">
        <v>223</v>
      </c>
      <c r="C29" s="10"/>
      <c r="D29" s="34">
        <f>ROUNDDOWN((D28)*M29/100,0)+I29</f>
        <v>449818</v>
      </c>
      <c r="E29" s="98" t="str">
        <f>"공급가액 x "&amp;ROUND(M29,5)&amp;"%"</f>
        <v>공급가액 x 10%</v>
      </c>
      <c r="F29" s="99"/>
      <c r="G29" s="100"/>
      <c r="H29" s="16" t="s">
        <v>224</v>
      </c>
      <c r="I29" s="44">
        <v>0</v>
      </c>
      <c r="J29" s="35">
        <f>ROUNDDOWN((J28)*M29/100,0)+I29</f>
        <v>449862</v>
      </c>
      <c r="L29" s="35">
        <f>ROUNDDOWN((L28)*M29/100,0)+I29</f>
        <v>449818</v>
      </c>
      <c r="M29" s="44">
        <v>10</v>
      </c>
      <c r="N29" s="23">
        <v>0</v>
      </c>
      <c r="O29" s="23">
        <v>0</v>
      </c>
      <c r="P29" s="23">
        <v>0</v>
      </c>
    </row>
    <row r="30" spans="1:16" ht="19.5" customHeight="1" x14ac:dyDescent="0.3">
      <c r="A30" s="10" t="s">
        <v>225</v>
      </c>
      <c r="B30" s="10" t="s">
        <v>226</v>
      </c>
      <c r="C30" s="10"/>
      <c r="D30" s="34">
        <f>(D28+D29)</f>
        <v>4948000</v>
      </c>
      <c r="E30" s="104"/>
      <c r="F30" s="99"/>
      <c r="G30" s="100"/>
      <c r="H30" s="16" t="s">
        <v>227</v>
      </c>
      <c r="I30" s="23">
        <v>0</v>
      </c>
      <c r="J30" s="35">
        <f>(J28+J29)</f>
        <v>4948482</v>
      </c>
      <c r="L30" s="35">
        <f>(L28+L29)</f>
        <v>4948000</v>
      </c>
      <c r="M30" s="23">
        <v>0</v>
      </c>
      <c r="N30" s="23">
        <v>0</v>
      </c>
      <c r="O30" s="23">
        <v>3</v>
      </c>
      <c r="P30" s="23">
        <v>0</v>
      </c>
    </row>
    <row r="31" spans="1:16" ht="19.5" customHeight="1" x14ac:dyDescent="0.3">
      <c r="A31" s="10"/>
      <c r="B31" s="10" t="s">
        <v>228</v>
      </c>
      <c r="C31" s="10"/>
      <c r="D31" s="34">
        <f>ROUNDUP(I31,-3)</f>
        <v>261029000</v>
      </c>
      <c r="E31" s="98" t="str">
        <f>"원자재대: "&amp;TEXT(I31,"#,0")&amp;""</f>
        <v>원자재대: 261,028,633</v>
      </c>
      <c r="F31" s="99"/>
      <c r="G31" s="100"/>
      <c r="H31" s="16" t="s">
        <v>229</v>
      </c>
      <c r="I31" s="44">
        <v>261028633</v>
      </c>
      <c r="J31" s="35">
        <f>ROUNDUP(I31,-3)</f>
        <v>261029000</v>
      </c>
      <c r="L31" s="35">
        <f>ROUNDUP(I31,-3)</f>
        <v>261029000</v>
      </c>
      <c r="M31" s="23">
        <v>3</v>
      </c>
      <c r="N31" s="23">
        <v>0</v>
      </c>
      <c r="O31" s="23">
        <v>0</v>
      </c>
      <c r="P31" s="23">
        <v>0</v>
      </c>
    </row>
    <row r="32" spans="1:16" ht="19.5" customHeight="1" x14ac:dyDescent="0.3">
      <c r="A32" s="10" t="s">
        <v>230</v>
      </c>
      <c r="B32" s="10" t="s">
        <v>231</v>
      </c>
      <c r="C32" s="10"/>
      <c r="D32" s="34">
        <f>(D30+D31)</f>
        <v>265977000</v>
      </c>
      <c r="E32" s="104"/>
      <c r="F32" s="99"/>
      <c r="G32" s="100"/>
      <c r="H32" s="16" t="s">
        <v>232</v>
      </c>
      <c r="I32" s="23">
        <v>0</v>
      </c>
      <c r="J32" s="35">
        <f>(J30+J31)</f>
        <v>265977482</v>
      </c>
      <c r="L32" s="35">
        <f>(L30+L31)</f>
        <v>265977000</v>
      </c>
      <c r="M32" s="23">
        <v>0</v>
      </c>
      <c r="N32" s="23">
        <v>0</v>
      </c>
      <c r="O32" s="23">
        <v>3</v>
      </c>
      <c r="P32" s="23">
        <v>0</v>
      </c>
    </row>
  </sheetData>
  <mergeCells count="24">
    <mergeCell ref="E32:G32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20:G20"/>
    <mergeCell ref="A1:G1"/>
    <mergeCell ref="I3:P3"/>
    <mergeCell ref="B4:C4"/>
    <mergeCell ref="E12:G12"/>
    <mergeCell ref="E13:G13"/>
    <mergeCell ref="E14:G14"/>
    <mergeCell ref="E15:G15"/>
    <mergeCell ref="E16:G16"/>
    <mergeCell ref="E17:G17"/>
    <mergeCell ref="E18:G18"/>
    <mergeCell ref="E19:G19"/>
  </mergeCells>
  <phoneticPr fontId="21" type="noConversion"/>
  <conditionalFormatting sqref="D26">
    <cfRule type="expression" dxfId="3" priority="1" stopIfTrue="1">
      <formula>($I$26+$K$26)&lt;0</formula>
    </cfRule>
  </conditionalFormatting>
  <conditionalFormatting sqref="D32">
    <cfRule type="expression" dxfId="2" priority="2" stopIfTrue="1">
      <formula>"&lt;&gt;ROUNDDOWN($J$32,-$I$25)+$I$32*10^($I$25-1)"</formula>
    </cfRule>
  </conditionalFormatting>
  <hyperlinks>
    <hyperlink ref="H1" r:id="rId1" tooltip="설계예산시스템(STmate w26.02)으로 작성 하였으며,_x000a_엑셀 인쇄품질 600 dpi에 최적화 되어 있습니다._x000a_경영정보(주) http://www.stma.co.kr_x000a_Tel) 070-4350-0040_x000a_Fax) 0505-300-3948" xr:uid="{5210082C-8B6C-4EFC-8948-E8FED3BCFD46}"/>
    <hyperlink ref="Q1" r:id="rId2" tooltip="설계예산시스템(STmate w26.02)으로 작성 하였으며,_x000a_엑셀 인쇄품질 600 dpi에 최적화 되어 있습니다._x000a_경영정보(주) http://www.stma.co.kr_x000a_Tel) 070-4350-0040_x000a_Fax) 0505-300-3948" xr:uid="{2921E261-3B91-47EF-8ADA-C2C8DFD86B8C}"/>
  </hyperlinks>
  <printOptions horizontalCentered="1"/>
  <pageMargins left="0.78740157480314965" right="0.78740157480314965" top="0.59055118110236215" bottom="0.59055118110236215" header="0" footer="0.39370078740157477"/>
  <pageSetup paperSize="9" scale="91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C164-1672-4C17-A5C2-67D162ADC4F2}">
  <dimension ref="A1:AC105"/>
  <sheetViews>
    <sheetView workbookViewId="0">
      <pane ySplit="4" topLeftCell="A5" activePane="bottomLeft" state="frozenSplit"/>
      <selection pane="bottomLeft" activeCell="G7" sqref="G7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7" width="11.5" style="6" customWidth="1"/>
    <col min="8" max="8" width="10" style="6" customWidth="1"/>
    <col min="9" max="9" width="11.5" style="6" customWidth="1"/>
    <col min="10" max="10" width="10" style="6" customWidth="1"/>
    <col min="11" max="11" width="11.5" style="6" customWidth="1"/>
    <col min="12" max="12" width="10" style="6" customWidth="1"/>
    <col min="13" max="13" width="11.5" style="6" customWidth="1"/>
    <col min="14" max="14" width="10" style="6" customWidth="1"/>
    <col min="15" max="15" width="9.125" style="15" hidden="1" customWidth="1"/>
    <col min="16" max="28" width="2.125" style="6" customWidth="1"/>
    <col min="29" max="29" width="9.125" style="17" customWidth="1"/>
    <col min="30" max="16384" width="9.125" style="6"/>
  </cols>
  <sheetData>
    <row r="1" spans="1:29" ht="24.95" customHeight="1" x14ac:dyDescent="0.3">
      <c r="A1" s="83" t="s">
        <v>151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5" t="s">
        <v>109</v>
      </c>
      <c r="AC1" s="18" t="s">
        <v>109</v>
      </c>
    </row>
    <row r="2" spans="1:29" ht="24.95" customHeight="1" x14ac:dyDescent="0.3">
      <c r="A2" s="1" t="s">
        <v>0</v>
      </c>
      <c r="O2" s="19" t="str">
        <f ca="1">MID(CELL("filename",$A$1),FIND("]",CELL("filename",$A$1))+1,LEN(CELL("filename",$A$1)))</f>
        <v>설계내역서</v>
      </c>
    </row>
    <row r="3" spans="1:29" ht="24.95" customHeight="1" x14ac:dyDescent="0.3">
      <c r="A3" s="107" t="s">
        <v>152</v>
      </c>
      <c r="B3" s="107" t="s">
        <v>2</v>
      </c>
      <c r="C3" s="107" t="s">
        <v>3</v>
      </c>
      <c r="D3" s="107" t="s">
        <v>153</v>
      </c>
      <c r="E3" s="107" t="s">
        <v>4</v>
      </c>
      <c r="F3" s="86" t="s">
        <v>5</v>
      </c>
      <c r="G3" s="108"/>
      <c r="H3" s="86" t="s">
        <v>6</v>
      </c>
      <c r="I3" s="108"/>
      <c r="J3" s="86" t="s">
        <v>7</v>
      </c>
      <c r="K3" s="108"/>
      <c r="L3" s="86" t="s">
        <v>8</v>
      </c>
      <c r="M3" s="108"/>
      <c r="N3" s="86" t="s">
        <v>9</v>
      </c>
    </row>
    <row r="4" spans="1:29" ht="24.95" customHeight="1" x14ac:dyDescent="0.3">
      <c r="A4" s="108"/>
      <c r="B4" s="108"/>
      <c r="C4" s="108"/>
      <c r="D4" s="108"/>
      <c r="E4" s="108"/>
      <c r="F4" s="9" t="s">
        <v>117</v>
      </c>
      <c r="G4" s="9" t="s">
        <v>154</v>
      </c>
      <c r="H4" s="9" t="s">
        <v>117</v>
      </c>
      <c r="I4" s="9" t="s">
        <v>154</v>
      </c>
      <c r="J4" s="9" t="s">
        <v>117</v>
      </c>
      <c r="K4" s="9" t="s">
        <v>154</v>
      </c>
      <c r="L4" s="9" t="s">
        <v>117</v>
      </c>
      <c r="M4" s="9" t="s">
        <v>154</v>
      </c>
      <c r="N4" s="87"/>
      <c r="AC4" s="3" t="str">
        <f>HYPERLINK("#'〓 목 차 〓'!B2","목차 →")</f>
        <v>목차 →</v>
      </c>
    </row>
    <row r="5" spans="1:29" ht="24.95" customHeight="1" x14ac:dyDescent="0.3">
      <c r="A5" s="24" t="s">
        <v>156</v>
      </c>
      <c r="B5" s="105" t="s">
        <v>157</v>
      </c>
      <c r="C5" s="106"/>
      <c r="D5" s="27"/>
      <c r="E5" s="20"/>
      <c r="F5" s="30"/>
      <c r="G5" s="33"/>
      <c r="H5" s="12"/>
      <c r="I5" s="38"/>
      <c r="J5" s="13"/>
      <c r="K5" s="38"/>
      <c r="L5" s="13"/>
      <c r="M5" s="38"/>
      <c r="N5" s="20"/>
      <c r="O5" s="16"/>
      <c r="P5" s="7"/>
      <c r="Q5" s="7"/>
    </row>
    <row r="6" spans="1:29" ht="24.95" customHeight="1" x14ac:dyDescent="0.3">
      <c r="A6" s="24" t="s">
        <v>159</v>
      </c>
      <c r="B6" s="24" t="s">
        <v>160</v>
      </c>
      <c r="C6" s="25"/>
      <c r="D6" s="27"/>
      <c r="E6" s="20"/>
      <c r="F6" s="30"/>
      <c r="G6" s="33"/>
      <c r="H6" s="12"/>
      <c r="I6" s="38"/>
      <c r="J6" s="13"/>
      <c r="K6" s="38"/>
      <c r="L6" s="13"/>
      <c r="M6" s="38"/>
      <c r="N6" s="20"/>
      <c r="O6" s="16"/>
      <c r="P6" s="7"/>
      <c r="Q6" s="7"/>
    </row>
    <row r="7" spans="1:29" ht="24.95" customHeight="1" x14ac:dyDescent="0.3">
      <c r="A7" s="10" t="s">
        <v>162</v>
      </c>
      <c r="B7" s="10" t="s">
        <v>163</v>
      </c>
      <c r="C7" s="26"/>
      <c r="D7" s="27"/>
      <c r="E7" s="20"/>
      <c r="F7" s="30"/>
      <c r="G7" s="33"/>
      <c r="H7" s="12"/>
      <c r="I7" s="38"/>
      <c r="J7" s="13"/>
      <c r="K7" s="38"/>
      <c r="L7" s="13"/>
      <c r="M7" s="38"/>
      <c r="N7" s="20"/>
      <c r="O7" s="16"/>
      <c r="P7" s="7"/>
      <c r="Q7" s="7"/>
    </row>
    <row r="8" spans="1:29" ht="24.95" customHeight="1" x14ac:dyDescent="0.3">
      <c r="A8" s="10"/>
      <c r="B8" s="10" t="s">
        <v>23</v>
      </c>
      <c r="C8" s="26" t="s">
        <v>24</v>
      </c>
      <c r="D8" s="28">
        <v>1801.1</v>
      </c>
      <c r="E8" s="20" t="s">
        <v>13</v>
      </c>
      <c r="F8" s="31"/>
      <c r="G8" s="34"/>
      <c r="H8" s="36"/>
      <c r="I8" s="12"/>
      <c r="J8" s="39"/>
      <c r="K8" s="12"/>
      <c r="L8" s="41"/>
      <c r="M8" s="13"/>
      <c r="N8" s="20"/>
      <c r="O8" s="16"/>
      <c r="P8" s="7"/>
      <c r="Q8" s="7"/>
      <c r="AC8" s="3"/>
    </row>
    <row r="9" spans="1:29" ht="24.95" customHeight="1" x14ac:dyDescent="0.3">
      <c r="A9" s="10"/>
      <c r="B9" s="10" t="s">
        <v>23</v>
      </c>
      <c r="C9" s="26" t="s">
        <v>25</v>
      </c>
      <c r="D9" s="28">
        <v>568</v>
      </c>
      <c r="E9" s="20" t="s">
        <v>13</v>
      </c>
      <c r="F9" s="31"/>
      <c r="G9" s="34"/>
      <c r="H9" s="36"/>
      <c r="I9" s="12"/>
      <c r="J9" s="39"/>
      <c r="K9" s="12"/>
      <c r="L9" s="41"/>
      <c r="M9" s="13"/>
      <c r="N9" s="20"/>
      <c r="O9" s="16"/>
      <c r="P9" s="7"/>
      <c r="Q9" s="7"/>
      <c r="AC9" s="3"/>
    </row>
    <row r="10" spans="1:29" ht="24.95" customHeight="1" x14ac:dyDescent="0.3">
      <c r="A10" s="10"/>
      <c r="B10" s="10" t="s">
        <v>29</v>
      </c>
      <c r="C10" s="26"/>
      <c r="D10" s="28">
        <v>1195.0999999999999</v>
      </c>
      <c r="E10" s="20" t="s">
        <v>28</v>
      </c>
      <c r="F10" s="31"/>
      <c r="G10" s="34"/>
      <c r="H10" s="36"/>
      <c r="I10" s="12"/>
      <c r="J10" s="39"/>
      <c r="K10" s="12"/>
      <c r="L10" s="41"/>
      <c r="M10" s="13"/>
      <c r="N10" s="20"/>
      <c r="O10" s="16"/>
      <c r="P10" s="7"/>
      <c r="Q10" s="7"/>
      <c r="AC10" s="3"/>
    </row>
    <row r="11" spans="1:29" ht="24.95" customHeight="1" x14ac:dyDescent="0.3">
      <c r="A11" s="10" t="s">
        <v>165</v>
      </c>
      <c r="B11" s="10" t="s">
        <v>166</v>
      </c>
      <c r="C11" s="26"/>
      <c r="D11" s="27"/>
      <c r="E11" s="20"/>
      <c r="F11" s="30"/>
      <c r="G11" s="33"/>
      <c r="H11" s="12"/>
      <c r="I11" s="38"/>
      <c r="J11" s="13"/>
      <c r="K11" s="38"/>
      <c r="L11" s="13"/>
      <c r="M11" s="38"/>
      <c r="N11" s="20"/>
      <c r="O11" s="16"/>
      <c r="P11" s="7"/>
      <c r="Q11" s="7"/>
    </row>
    <row r="12" spans="1:29" ht="24.95" customHeight="1" x14ac:dyDescent="0.3">
      <c r="A12" s="10"/>
      <c r="B12" s="10" t="s">
        <v>21</v>
      </c>
      <c r="C12" s="26" t="s">
        <v>22</v>
      </c>
      <c r="D12" s="28">
        <v>1</v>
      </c>
      <c r="E12" s="20" t="s">
        <v>20</v>
      </c>
      <c r="F12" s="31"/>
      <c r="G12" s="34"/>
      <c r="H12" s="36"/>
      <c r="I12" s="12"/>
      <c r="J12" s="39"/>
      <c r="K12" s="12"/>
      <c r="L12" s="41"/>
      <c r="M12" s="13"/>
      <c r="N12" s="20"/>
      <c r="O12" s="16"/>
      <c r="P12" s="7"/>
      <c r="Q12" s="7"/>
      <c r="AC12" s="3"/>
    </row>
    <row r="13" spans="1:29" ht="24.95" customHeight="1" x14ac:dyDescent="0.3">
      <c r="A13" s="10"/>
      <c r="B13" s="10" t="s">
        <v>30</v>
      </c>
      <c r="C13" s="26" t="s">
        <v>31</v>
      </c>
      <c r="D13" s="28">
        <v>3</v>
      </c>
      <c r="E13" s="20" t="s">
        <v>20</v>
      </c>
      <c r="F13" s="31"/>
      <c r="G13" s="34"/>
      <c r="H13" s="36"/>
      <c r="I13" s="12"/>
      <c r="J13" s="39"/>
      <c r="K13" s="12"/>
      <c r="L13" s="41"/>
      <c r="M13" s="13"/>
      <c r="N13" s="20"/>
      <c r="O13" s="16"/>
      <c r="P13" s="7"/>
      <c r="Q13" s="7"/>
      <c r="AC13" s="3"/>
    </row>
    <row r="14" spans="1:29" ht="24.95" customHeight="1" x14ac:dyDescent="0.3">
      <c r="A14" s="10"/>
      <c r="B14" s="10" t="s">
        <v>32</v>
      </c>
      <c r="C14" s="26" t="s">
        <v>33</v>
      </c>
      <c r="D14" s="28">
        <v>1</v>
      </c>
      <c r="E14" s="20" t="s">
        <v>20</v>
      </c>
      <c r="F14" s="31"/>
      <c r="G14" s="34"/>
      <c r="H14" s="36"/>
      <c r="I14" s="12"/>
      <c r="J14" s="39"/>
      <c r="K14" s="12"/>
      <c r="L14" s="41"/>
      <c r="M14" s="13"/>
      <c r="N14" s="20"/>
      <c r="O14" s="16"/>
      <c r="P14" s="7"/>
      <c r="Q14" s="7"/>
      <c r="AC14" s="3"/>
    </row>
    <row r="15" spans="1:29" ht="24.95" customHeight="1" x14ac:dyDescent="0.3">
      <c r="A15" s="10"/>
      <c r="B15" s="10" t="s">
        <v>18</v>
      </c>
      <c r="C15" s="26" t="s">
        <v>19</v>
      </c>
      <c r="D15" s="28">
        <v>2</v>
      </c>
      <c r="E15" s="20" t="s">
        <v>20</v>
      </c>
      <c r="F15" s="31"/>
      <c r="G15" s="34"/>
      <c r="H15" s="36"/>
      <c r="I15" s="12"/>
      <c r="J15" s="39"/>
      <c r="K15" s="12"/>
      <c r="L15" s="41"/>
      <c r="M15" s="13"/>
      <c r="N15" s="20"/>
      <c r="O15" s="16"/>
      <c r="P15" s="7"/>
      <c r="Q15" s="7"/>
      <c r="AC15" s="3"/>
    </row>
    <row r="16" spans="1:29" ht="24.95" customHeight="1" x14ac:dyDescent="0.3">
      <c r="A16" s="10"/>
      <c r="B16" s="10" t="s">
        <v>34</v>
      </c>
      <c r="C16" s="26" t="s">
        <v>35</v>
      </c>
      <c r="D16" s="28">
        <v>5</v>
      </c>
      <c r="E16" s="20" t="s">
        <v>20</v>
      </c>
      <c r="F16" s="31"/>
      <c r="G16" s="34"/>
      <c r="H16" s="36"/>
      <c r="I16" s="12"/>
      <c r="J16" s="39"/>
      <c r="K16" s="12"/>
      <c r="L16" s="41"/>
      <c r="M16" s="13"/>
      <c r="N16" s="20"/>
      <c r="O16" s="16"/>
      <c r="P16" s="7"/>
      <c r="Q16" s="7"/>
      <c r="AC16" s="3"/>
    </row>
    <row r="17" spans="1:29" ht="24.95" customHeight="1" x14ac:dyDescent="0.3">
      <c r="A17" s="10"/>
      <c r="B17" s="10" t="s">
        <v>36</v>
      </c>
      <c r="C17" s="26" t="s">
        <v>37</v>
      </c>
      <c r="D17" s="28">
        <v>3</v>
      </c>
      <c r="E17" s="20" t="s">
        <v>20</v>
      </c>
      <c r="F17" s="31"/>
      <c r="G17" s="34"/>
      <c r="H17" s="36"/>
      <c r="I17" s="12"/>
      <c r="J17" s="39"/>
      <c r="K17" s="12"/>
      <c r="L17" s="41"/>
      <c r="M17" s="13"/>
      <c r="N17" s="20"/>
      <c r="O17" s="16"/>
      <c r="P17" s="7"/>
      <c r="Q17" s="7"/>
      <c r="AC17" s="3"/>
    </row>
    <row r="18" spans="1:29" ht="24.95" customHeight="1" x14ac:dyDescent="0.3">
      <c r="A18" s="10"/>
      <c r="B18" s="10" t="s">
        <v>38</v>
      </c>
      <c r="C18" s="26" t="s">
        <v>39</v>
      </c>
      <c r="D18" s="28">
        <v>5</v>
      </c>
      <c r="E18" s="20" t="s">
        <v>20</v>
      </c>
      <c r="F18" s="31"/>
      <c r="G18" s="34"/>
      <c r="H18" s="36"/>
      <c r="I18" s="12"/>
      <c r="J18" s="39"/>
      <c r="K18" s="12"/>
      <c r="L18" s="41"/>
      <c r="M18" s="13"/>
      <c r="N18" s="20"/>
      <c r="O18" s="16"/>
      <c r="P18" s="7"/>
      <c r="Q18" s="7"/>
      <c r="AC18" s="3"/>
    </row>
    <row r="19" spans="1:29" ht="24.95" customHeight="1" x14ac:dyDescent="0.3">
      <c r="A19" s="10"/>
      <c r="B19" s="10" t="s">
        <v>40</v>
      </c>
      <c r="C19" s="26" t="s">
        <v>41</v>
      </c>
      <c r="D19" s="28">
        <v>3</v>
      </c>
      <c r="E19" s="20" t="s">
        <v>20</v>
      </c>
      <c r="F19" s="31"/>
      <c r="G19" s="34"/>
      <c r="H19" s="36"/>
      <c r="I19" s="12"/>
      <c r="J19" s="39"/>
      <c r="K19" s="12"/>
      <c r="L19" s="41"/>
      <c r="M19" s="13"/>
      <c r="N19" s="20"/>
      <c r="O19" s="16"/>
      <c r="P19" s="7"/>
      <c r="Q19" s="7"/>
      <c r="AC19" s="3"/>
    </row>
    <row r="20" spans="1:29" ht="24.95" customHeight="1" x14ac:dyDescent="0.3">
      <c r="A20" s="10"/>
      <c r="B20" s="10" t="s">
        <v>43</v>
      </c>
      <c r="C20" s="26" t="s">
        <v>44</v>
      </c>
      <c r="D20" s="28">
        <v>4.5999999999999996</v>
      </c>
      <c r="E20" s="20" t="s">
        <v>28</v>
      </c>
      <c r="F20" s="31"/>
      <c r="G20" s="34"/>
      <c r="H20" s="36"/>
      <c r="I20" s="12"/>
      <c r="J20" s="39"/>
      <c r="K20" s="12"/>
      <c r="L20" s="41"/>
      <c r="M20" s="13"/>
      <c r="N20" s="20"/>
      <c r="O20" s="16"/>
      <c r="P20" s="7"/>
      <c r="Q20" s="7"/>
      <c r="AC20" s="3"/>
    </row>
    <row r="21" spans="1:29" ht="24.95" customHeight="1" x14ac:dyDescent="0.3">
      <c r="A21" s="10"/>
      <c r="B21" s="10" t="s">
        <v>45</v>
      </c>
      <c r="C21" s="26" t="s">
        <v>46</v>
      </c>
      <c r="D21" s="28">
        <v>10</v>
      </c>
      <c r="E21" s="20" t="s">
        <v>28</v>
      </c>
      <c r="F21" s="31"/>
      <c r="G21" s="34"/>
      <c r="H21" s="36"/>
      <c r="I21" s="12"/>
      <c r="J21" s="39"/>
      <c r="K21" s="12"/>
      <c r="L21" s="41"/>
      <c r="M21" s="13"/>
      <c r="N21" s="20"/>
      <c r="O21" s="16"/>
      <c r="P21" s="7"/>
      <c r="Q21" s="7"/>
      <c r="AC21" s="3"/>
    </row>
    <row r="22" spans="1:29" ht="24.95" customHeight="1" x14ac:dyDescent="0.3">
      <c r="A22" s="10"/>
      <c r="B22" s="10" t="s">
        <v>47</v>
      </c>
      <c r="C22" s="26" t="s">
        <v>48</v>
      </c>
      <c r="D22" s="28">
        <v>1</v>
      </c>
      <c r="E22" s="20" t="s">
        <v>20</v>
      </c>
      <c r="F22" s="31"/>
      <c r="G22" s="34"/>
      <c r="H22" s="36"/>
      <c r="I22" s="12"/>
      <c r="J22" s="39"/>
      <c r="K22" s="12"/>
      <c r="L22" s="41"/>
      <c r="M22" s="13"/>
      <c r="N22" s="20"/>
      <c r="O22" s="16"/>
      <c r="P22" s="7"/>
      <c r="Q22" s="7"/>
      <c r="AC22" s="3"/>
    </row>
    <row r="23" spans="1:29" ht="24.95" customHeight="1" x14ac:dyDescent="0.3">
      <c r="A23" s="10"/>
      <c r="B23" s="10" t="s">
        <v>49</v>
      </c>
      <c r="C23" s="26" t="s">
        <v>50</v>
      </c>
      <c r="D23" s="28">
        <v>4</v>
      </c>
      <c r="E23" s="20" t="s">
        <v>20</v>
      </c>
      <c r="F23" s="31"/>
      <c r="G23" s="34"/>
      <c r="H23" s="36"/>
      <c r="I23" s="12"/>
      <c r="J23" s="39"/>
      <c r="K23" s="12"/>
      <c r="L23" s="41"/>
      <c r="M23" s="13"/>
      <c r="N23" s="20"/>
      <c r="O23" s="16"/>
      <c r="P23" s="7"/>
      <c r="Q23" s="7"/>
      <c r="AC23" s="3"/>
    </row>
    <row r="24" spans="1:29" ht="24.95" customHeight="1" x14ac:dyDescent="0.3">
      <c r="A24" s="10"/>
      <c r="B24" s="10" t="s">
        <v>51</v>
      </c>
      <c r="C24" s="26" t="s">
        <v>52</v>
      </c>
      <c r="D24" s="28">
        <v>1</v>
      </c>
      <c r="E24" s="20" t="s">
        <v>20</v>
      </c>
      <c r="F24" s="31"/>
      <c r="G24" s="34"/>
      <c r="H24" s="36"/>
      <c r="I24" s="12"/>
      <c r="J24" s="39"/>
      <c r="K24" s="12"/>
      <c r="L24" s="41"/>
      <c r="M24" s="13"/>
      <c r="N24" s="20"/>
      <c r="O24" s="16"/>
      <c r="P24" s="7"/>
      <c r="Q24" s="7"/>
      <c r="AC24" s="3"/>
    </row>
    <row r="25" spans="1:29" ht="24.95" customHeight="1" x14ac:dyDescent="0.3">
      <c r="A25" s="10"/>
      <c r="B25" s="10" t="s">
        <v>53</v>
      </c>
      <c r="C25" s="26" t="s">
        <v>54</v>
      </c>
      <c r="D25" s="28">
        <v>1</v>
      </c>
      <c r="E25" s="20" t="s">
        <v>20</v>
      </c>
      <c r="F25" s="31"/>
      <c r="G25" s="34"/>
      <c r="H25" s="36"/>
      <c r="I25" s="12"/>
      <c r="J25" s="39"/>
      <c r="K25" s="12"/>
      <c r="L25" s="41"/>
      <c r="M25" s="13"/>
      <c r="N25" s="20"/>
      <c r="O25" s="16"/>
      <c r="P25" s="7"/>
      <c r="Q25" s="7"/>
      <c r="AC25" s="3"/>
    </row>
    <row r="26" spans="1:29" ht="24.95" customHeight="1" x14ac:dyDescent="0.3">
      <c r="A26" s="10"/>
      <c r="B26" s="10" t="s">
        <v>55</v>
      </c>
      <c r="C26" s="26" t="s">
        <v>56</v>
      </c>
      <c r="D26" s="28">
        <v>4</v>
      </c>
      <c r="E26" s="20" t="s">
        <v>20</v>
      </c>
      <c r="F26" s="31"/>
      <c r="G26" s="34"/>
      <c r="H26" s="36"/>
      <c r="I26" s="12"/>
      <c r="J26" s="39"/>
      <c r="K26" s="12"/>
      <c r="L26" s="41"/>
      <c r="M26" s="13"/>
      <c r="N26" s="20"/>
      <c r="O26" s="16"/>
      <c r="P26" s="7"/>
      <c r="Q26" s="7"/>
      <c r="AC26" s="3"/>
    </row>
    <row r="27" spans="1:29" ht="24.95" customHeight="1" x14ac:dyDescent="0.3">
      <c r="A27" s="10"/>
      <c r="B27" s="10" t="s">
        <v>57</v>
      </c>
      <c r="C27" s="26" t="s">
        <v>58</v>
      </c>
      <c r="D27" s="28">
        <v>1</v>
      </c>
      <c r="E27" s="20" t="s">
        <v>20</v>
      </c>
      <c r="F27" s="31"/>
      <c r="G27" s="34"/>
      <c r="H27" s="36"/>
      <c r="I27" s="12"/>
      <c r="J27" s="39"/>
      <c r="K27" s="12"/>
      <c r="L27" s="41"/>
      <c r="M27" s="13"/>
      <c r="N27" s="20"/>
      <c r="O27" s="16"/>
      <c r="P27" s="7"/>
      <c r="Q27" s="7"/>
      <c r="AC27" s="3"/>
    </row>
    <row r="28" spans="1:29" ht="24.95" customHeight="1" x14ac:dyDescent="0.3">
      <c r="A28" s="10"/>
      <c r="B28" s="10" t="s">
        <v>59</v>
      </c>
      <c r="C28" s="26" t="s">
        <v>60</v>
      </c>
      <c r="D28" s="28">
        <v>7</v>
      </c>
      <c r="E28" s="20" t="s">
        <v>20</v>
      </c>
      <c r="F28" s="31"/>
      <c r="G28" s="34"/>
      <c r="H28" s="36"/>
      <c r="I28" s="12"/>
      <c r="J28" s="39"/>
      <c r="K28" s="12"/>
      <c r="L28" s="41"/>
      <c r="M28" s="13"/>
      <c r="N28" s="20"/>
      <c r="O28" s="16"/>
      <c r="P28" s="7"/>
      <c r="Q28" s="7"/>
      <c r="AC28" s="3"/>
    </row>
    <row r="29" spans="1:29" ht="24.95" customHeight="1" x14ac:dyDescent="0.3">
      <c r="A29" s="10"/>
      <c r="B29" s="10" t="s">
        <v>61</v>
      </c>
      <c r="C29" s="26" t="s">
        <v>62</v>
      </c>
      <c r="D29" s="28">
        <v>121</v>
      </c>
      <c r="E29" s="20" t="s">
        <v>20</v>
      </c>
      <c r="F29" s="31"/>
      <c r="G29" s="34"/>
      <c r="H29" s="36"/>
      <c r="I29" s="12"/>
      <c r="J29" s="39"/>
      <c r="K29" s="12"/>
      <c r="L29" s="41"/>
      <c r="M29" s="13"/>
      <c r="N29" s="20"/>
      <c r="O29" s="16"/>
      <c r="P29" s="7"/>
      <c r="Q29" s="7"/>
      <c r="AC29" s="3"/>
    </row>
    <row r="30" spans="1:29" ht="24.95" customHeight="1" x14ac:dyDescent="0.3">
      <c r="A30" s="10"/>
      <c r="B30" s="10" t="s">
        <v>11</v>
      </c>
      <c r="C30" s="26" t="s">
        <v>12</v>
      </c>
      <c r="D30" s="28">
        <v>73</v>
      </c>
      <c r="E30" s="20" t="s">
        <v>13</v>
      </c>
      <c r="F30" s="31"/>
      <c r="G30" s="34"/>
      <c r="H30" s="36"/>
      <c r="I30" s="12"/>
      <c r="J30" s="39"/>
      <c r="K30" s="12"/>
      <c r="L30" s="41"/>
      <c r="M30" s="13"/>
      <c r="N30" s="20"/>
      <c r="O30" s="16"/>
      <c r="P30" s="7"/>
      <c r="Q30" s="7"/>
      <c r="AC30" s="3"/>
    </row>
    <row r="31" spans="1:29" ht="24.95" customHeight="1" x14ac:dyDescent="0.3">
      <c r="A31" s="10"/>
      <c r="B31" s="10" t="s">
        <v>63</v>
      </c>
      <c r="C31" s="26" t="s">
        <v>64</v>
      </c>
      <c r="D31" s="28">
        <v>35.4</v>
      </c>
      <c r="E31" s="20" t="s">
        <v>13</v>
      </c>
      <c r="F31" s="31"/>
      <c r="G31" s="34"/>
      <c r="H31" s="36"/>
      <c r="I31" s="12"/>
      <c r="J31" s="39"/>
      <c r="K31" s="12"/>
      <c r="L31" s="41"/>
      <c r="M31" s="13"/>
      <c r="N31" s="20"/>
      <c r="O31" s="16"/>
      <c r="P31" s="7"/>
      <c r="Q31" s="7"/>
      <c r="AC31" s="3"/>
    </row>
    <row r="32" spans="1:29" ht="24.95" customHeight="1" x14ac:dyDescent="0.3">
      <c r="A32" s="10"/>
      <c r="B32" s="10" t="s">
        <v>100</v>
      </c>
      <c r="C32" s="26" t="s">
        <v>66</v>
      </c>
      <c r="D32" s="28">
        <v>1</v>
      </c>
      <c r="E32" s="20" t="s">
        <v>20</v>
      </c>
      <c r="F32" s="31"/>
      <c r="G32" s="34"/>
      <c r="H32" s="36"/>
      <c r="I32" s="12"/>
      <c r="J32" s="39"/>
      <c r="K32" s="12"/>
      <c r="L32" s="41"/>
      <c r="M32" s="13"/>
      <c r="N32" s="20"/>
      <c r="O32" s="16"/>
      <c r="P32" s="7"/>
      <c r="Q32" s="7"/>
      <c r="AC32" s="3"/>
    </row>
    <row r="33" spans="1:29" ht="24.95" customHeight="1" x14ac:dyDescent="0.3">
      <c r="A33" s="10"/>
      <c r="B33" s="10" t="s">
        <v>65</v>
      </c>
      <c r="C33" s="26" t="s">
        <v>66</v>
      </c>
      <c r="D33" s="28">
        <v>6</v>
      </c>
      <c r="E33" s="20" t="s">
        <v>20</v>
      </c>
      <c r="F33" s="31"/>
      <c r="G33" s="34"/>
      <c r="H33" s="36"/>
      <c r="I33" s="12"/>
      <c r="J33" s="39"/>
      <c r="K33" s="12"/>
      <c r="L33" s="41"/>
      <c r="M33" s="13"/>
      <c r="N33" s="20"/>
      <c r="O33" s="16"/>
      <c r="P33" s="7"/>
      <c r="Q33" s="7"/>
      <c r="AC33" s="3"/>
    </row>
    <row r="34" spans="1:29" ht="24.95" customHeight="1" x14ac:dyDescent="0.3">
      <c r="A34" s="10"/>
      <c r="B34" s="10" t="s">
        <v>67</v>
      </c>
      <c r="C34" s="26" t="s">
        <v>68</v>
      </c>
      <c r="D34" s="28">
        <v>1</v>
      </c>
      <c r="E34" s="20" t="s">
        <v>20</v>
      </c>
      <c r="F34" s="31"/>
      <c r="G34" s="34"/>
      <c r="H34" s="36"/>
      <c r="I34" s="12"/>
      <c r="J34" s="39"/>
      <c r="K34" s="12"/>
      <c r="L34" s="41"/>
      <c r="M34" s="13"/>
      <c r="N34" s="20"/>
      <c r="O34" s="16"/>
      <c r="P34" s="7"/>
      <c r="Q34" s="7"/>
      <c r="AC34" s="3"/>
    </row>
    <row r="35" spans="1:29" ht="24.95" customHeight="1" x14ac:dyDescent="0.3">
      <c r="A35" s="10" t="s">
        <v>167</v>
      </c>
      <c r="B35" s="10" t="s">
        <v>14</v>
      </c>
      <c r="C35" s="26"/>
      <c r="D35" s="27"/>
      <c r="E35" s="20"/>
      <c r="F35" s="30"/>
      <c r="G35" s="33"/>
      <c r="H35" s="12"/>
      <c r="I35" s="38"/>
      <c r="J35" s="13"/>
      <c r="K35" s="38"/>
      <c r="L35" s="13"/>
      <c r="M35" s="38"/>
      <c r="N35" s="20"/>
      <c r="O35" s="16"/>
      <c r="P35" s="7"/>
      <c r="Q35" s="7"/>
    </row>
    <row r="36" spans="1:29" ht="24.95" customHeight="1" x14ac:dyDescent="0.3">
      <c r="A36" s="10" t="s">
        <v>169</v>
      </c>
      <c r="B36" s="10" t="s">
        <v>170</v>
      </c>
      <c r="C36" s="26"/>
      <c r="D36" s="27"/>
      <c r="E36" s="20"/>
      <c r="F36" s="30"/>
      <c r="G36" s="33"/>
      <c r="H36" s="12"/>
      <c r="I36" s="38"/>
      <c r="J36" s="13"/>
      <c r="K36" s="38"/>
      <c r="L36" s="13"/>
      <c r="M36" s="38"/>
      <c r="N36" s="20"/>
      <c r="O36" s="16"/>
      <c r="P36" s="7"/>
      <c r="Q36" s="7"/>
    </row>
    <row r="37" spans="1:29" ht="24.95" customHeight="1" x14ac:dyDescent="0.3">
      <c r="A37" s="10"/>
      <c r="B37" s="10" t="s">
        <v>69</v>
      </c>
      <c r="C37" s="26" t="s">
        <v>70</v>
      </c>
      <c r="D37" s="28">
        <v>2</v>
      </c>
      <c r="E37" s="20" t="s">
        <v>15</v>
      </c>
      <c r="F37" s="31"/>
      <c r="G37" s="34"/>
      <c r="H37" s="36"/>
      <c r="I37" s="12"/>
      <c r="J37" s="39"/>
      <c r="K37" s="12"/>
      <c r="L37" s="41"/>
      <c r="M37" s="13"/>
      <c r="N37" s="20"/>
      <c r="O37" s="16"/>
      <c r="P37" s="7"/>
      <c r="Q37" s="7"/>
      <c r="AC37" s="3"/>
    </row>
    <row r="38" spans="1:29" ht="24.95" customHeight="1" x14ac:dyDescent="0.3">
      <c r="A38" s="10"/>
      <c r="B38" s="10" t="s">
        <v>69</v>
      </c>
      <c r="C38" s="26" t="s">
        <v>71</v>
      </c>
      <c r="D38" s="28">
        <v>4</v>
      </c>
      <c r="E38" s="20" t="s">
        <v>15</v>
      </c>
      <c r="F38" s="31"/>
      <c r="G38" s="34"/>
      <c r="H38" s="36"/>
      <c r="I38" s="12"/>
      <c r="J38" s="39"/>
      <c r="K38" s="12"/>
      <c r="L38" s="41"/>
      <c r="M38" s="13"/>
      <c r="N38" s="20"/>
      <c r="O38" s="16"/>
      <c r="P38" s="7"/>
      <c r="Q38" s="7"/>
      <c r="AC38" s="3"/>
    </row>
    <row r="39" spans="1:29" ht="24.95" customHeight="1" x14ac:dyDescent="0.3">
      <c r="A39" s="10"/>
      <c r="B39" s="10" t="s">
        <v>69</v>
      </c>
      <c r="C39" s="26" t="s">
        <v>72</v>
      </c>
      <c r="D39" s="28">
        <v>3</v>
      </c>
      <c r="E39" s="20" t="s">
        <v>15</v>
      </c>
      <c r="F39" s="31"/>
      <c r="G39" s="34"/>
      <c r="H39" s="36"/>
      <c r="I39" s="12"/>
      <c r="J39" s="39"/>
      <c r="K39" s="12"/>
      <c r="L39" s="41"/>
      <c r="M39" s="13"/>
      <c r="N39" s="20"/>
      <c r="O39" s="16"/>
      <c r="P39" s="7"/>
      <c r="Q39" s="7"/>
      <c r="AC39" s="3"/>
    </row>
    <row r="40" spans="1:29" ht="24.95" customHeight="1" x14ac:dyDescent="0.3">
      <c r="A40" s="10"/>
      <c r="B40" s="10" t="s">
        <v>73</v>
      </c>
      <c r="C40" s="26" t="s">
        <v>74</v>
      </c>
      <c r="D40" s="28">
        <v>2</v>
      </c>
      <c r="E40" s="20" t="s">
        <v>15</v>
      </c>
      <c r="F40" s="31"/>
      <c r="G40" s="34"/>
      <c r="H40" s="36"/>
      <c r="I40" s="12"/>
      <c r="J40" s="39"/>
      <c r="K40" s="12"/>
      <c r="L40" s="41"/>
      <c r="M40" s="13"/>
      <c r="N40" s="20"/>
      <c r="O40" s="16"/>
      <c r="P40" s="7"/>
      <c r="Q40" s="7"/>
      <c r="AC40" s="3"/>
    </row>
    <row r="41" spans="1:29" ht="24.95" customHeight="1" x14ac:dyDescent="0.3">
      <c r="A41" s="10"/>
      <c r="B41" s="10" t="s">
        <v>73</v>
      </c>
      <c r="C41" s="26" t="s">
        <v>75</v>
      </c>
      <c r="D41" s="28">
        <v>1</v>
      </c>
      <c r="E41" s="20" t="s">
        <v>15</v>
      </c>
      <c r="F41" s="31"/>
      <c r="G41" s="34"/>
      <c r="H41" s="36"/>
      <c r="I41" s="12"/>
      <c r="J41" s="39"/>
      <c r="K41" s="12"/>
      <c r="L41" s="41"/>
      <c r="M41" s="13"/>
      <c r="N41" s="20"/>
      <c r="O41" s="16"/>
      <c r="P41" s="7"/>
      <c r="Q41" s="7"/>
      <c r="AC41" s="3"/>
    </row>
    <row r="42" spans="1:29" ht="24.95" customHeight="1" x14ac:dyDescent="0.3">
      <c r="A42" s="10"/>
      <c r="B42" s="10" t="s">
        <v>76</v>
      </c>
      <c r="C42" s="26" t="s">
        <v>77</v>
      </c>
      <c r="D42" s="28">
        <v>1</v>
      </c>
      <c r="E42" s="20" t="s">
        <v>15</v>
      </c>
      <c r="F42" s="31"/>
      <c r="G42" s="34"/>
      <c r="H42" s="36"/>
      <c r="I42" s="12"/>
      <c r="J42" s="39"/>
      <c r="K42" s="12"/>
      <c r="L42" s="41"/>
      <c r="M42" s="13"/>
      <c r="N42" s="20"/>
      <c r="O42" s="16"/>
      <c r="P42" s="7"/>
      <c r="Q42" s="7"/>
      <c r="AC42" s="3"/>
    </row>
    <row r="43" spans="1:29" ht="24.95" customHeight="1" x14ac:dyDescent="0.3">
      <c r="A43" s="10"/>
      <c r="B43" s="10" t="s">
        <v>78</v>
      </c>
      <c r="C43" s="26" t="s">
        <v>79</v>
      </c>
      <c r="D43" s="28">
        <v>2</v>
      </c>
      <c r="E43" s="20" t="s">
        <v>15</v>
      </c>
      <c r="F43" s="31"/>
      <c r="G43" s="34"/>
      <c r="H43" s="36"/>
      <c r="I43" s="12"/>
      <c r="J43" s="39"/>
      <c r="K43" s="12"/>
      <c r="L43" s="41"/>
      <c r="M43" s="13"/>
      <c r="N43" s="20"/>
      <c r="O43" s="16"/>
      <c r="P43" s="7"/>
      <c r="Q43" s="7"/>
      <c r="AC43" s="3"/>
    </row>
    <row r="44" spans="1:29" ht="24.95" customHeight="1" x14ac:dyDescent="0.3">
      <c r="A44" s="10"/>
      <c r="B44" s="10" t="s">
        <v>78</v>
      </c>
      <c r="C44" s="26" t="s">
        <v>80</v>
      </c>
      <c r="D44" s="28">
        <v>2</v>
      </c>
      <c r="E44" s="20" t="s">
        <v>15</v>
      </c>
      <c r="F44" s="31"/>
      <c r="G44" s="34"/>
      <c r="H44" s="36"/>
      <c r="I44" s="12"/>
      <c r="J44" s="39"/>
      <c r="K44" s="12"/>
      <c r="L44" s="41"/>
      <c r="M44" s="13"/>
      <c r="N44" s="20"/>
      <c r="O44" s="16"/>
      <c r="P44" s="7"/>
      <c r="Q44" s="7"/>
      <c r="AC44" s="3"/>
    </row>
    <row r="45" spans="1:29" ht="24.95" customHeight="1" x14ac:dyDescent="0.3">
      <c r="A45" s="10"/>
      <c r="B45" s="10" t="s">
        <v>78</v>
      </c>
      <c r="C45" s="26" t="s">
        <v>81</v>
      </c>
      <c r="D45" s="28">
        <v>1</v>
      </c>
      <c r="E45" s="20" t="s">
        <v>15</v>
      </c>
      <c r="F45" s="31"/>
      <c r="G45" s="34"/>
      <c r="H45" s="36"/>
      <c r="I45" s="12"/>
      <c r="J45" s="39"/>
      <c r="K45" s="12"/>
      <c r="L45" s="41"/>
      <c r="M45" s="13"/>
      <c r="N45" s="20"/>
      <c r="O45" s="16"/>
      <c r="P45" s="7"/>
      <c r="Q45" s="7"/>
      <c r="AC45" s="3"/>
    </row>
    <row r="46" spans="1:29" ht="24.95" customHeight="1" x14ac:dyDescent="0.3">
      <c r="A46" s="10" t="s">
        <v>171</v>
      </c>
      <c r="B46" s="10" t="s">
        <v>172</v>
      </c>
      <c r="C46" s="26"/>
      <c r="D46" s="27"/>
      <c r="E46" s="20"/>
      <c r="F46" s="30"/>
      <c r="G46" s="33"/>
      <c r="H46" s="12"/>
      <c r="I46" s="38"/>
      <c r="J46" s="13"/>
      <c r="K46" s="38"/>
      <c r="L46" s="13"/>
      <c r="M46" s="38"/>
      <c r="N46" s="20"/>
      <c r="O46" s="16"/>
      <c r="P46" s="7"/>
      <c r="Q46" s="7"/>
    </row>
    <row r="47" spans="1:29" ht="24.95" customHeight="1" x14ac:dyDescent="0.3">
      <c r="A47" s="10"/>
      <c r="B47" s="10" t="s">
        <v>82</v>
      </c>
      <c r="C47" s="26" t="s">
        <v>83</v>
      </c>
      <c r="D47" s="28">
        <v>3</v>
      </c>
      <c r="E47" s="20" t="s">
        <v>15</v>
      </c>
      <c r="F47" s="31"/>
      <c r="G47" s="34"/>
      <c r="H47" s="36"/>
      <c r="I47" s="12"/>
      <c r="J47" s="39"/>
      <c r="K47" s="12"/>
      <c r="L47" s="41"/>
      <c r="M47" s="13"/>
      <c r="N47" s="20"/>
      <c r="O47" s="16"/>
      <c r="P47" s="7"/>
      <c r="Q47" s="7"/>
      <c r="AC47" s="3"/>
    </row>
    <row r="48" spans="1:29" ht="24.95" customHeight="1" x14ac:dyDescent="0.3">
      <c r="A48" s="10"/>
      <c r="B48" s="10" t="s">
        <v>82</v>
      </c>
      <c r="C48" s="26" t="s">
        <v>84</v>
      </c>
      <c r="D48" s="28">
        <v>4</v>
      </c>
      <c r="E48" s="20" t="s">
        <v>15</v>
      </c>
      <c r="F48" s="31"/>
      <c r="G48" s="34"/>
      <c r="H48" s="36"/>
      <c r="I48" s="12"/>
      <c r="J48" s="39"/>
      <c r="K48" s="12"/>
      <c r="L48" s="41"/>
      <c r="M48" s="13"/>
      <c r="N48" s="20"/>
      <c r="O48" s="16"/>
      <c r="P48" s="7"/>
      <c r="Q48" s="7"/>
      <c r="AC48" s="3"/>
    </row>
    <row r="49" spans="1:29" ht="24.95" customHeight="1" x14ac:dyDescent="0.3">
      <c r="A49" s="10"/>
      <c r="B49" s="10" t="s">
        <v>85</v>
      </c>
      <c r="C49" s="26" t="s">
        <v>86</v>
      </c>
      <c r="D49" s="28">
        <v>1</v>
      </c>
      <c r="E49" s="20" t="s">
        <v>15</v>
      </c>
      <c r="F49" s="31"/>
      <c r="G49" s="34"/>
      <c r="H49" s="36"/>
      <c r="I49" s="12"/>
      <c r="J49" s="39"/>
      <c r="K49" s="12"/>
      <c r="L49" s="41"/>
      <c r="M49" s="13"/>
      <c r="N49" s="20"/>
      <c r="O49" s="16"/>
      <c r="P49" s="7"/>
      <c r="Q49" s="7"/>
      <c r="AC49" s="3"/>
    </row>
    <row r="50" spans="1:29" ht="24.95" customHeight="1" x14ac:dyDescent="0.3">
      <c r="A50" s="10"/>
      <c r="B50" s="10" t="s">
        <v>87</v>
      </c>
      <c r="C50" s="26" t="s">
        <v>86</v>
      </c>
      <c r="D50" s="28">
        <v>1</v>
      </c>
      <c r="E50" s="20" t="s">
        <v>15</v>
      </c>
      <c r="F50" s="31"/>
      <c r="G50" s="34"/>
      <c r="H50" s="36"/>
      <c r="I50" s="12"/>
      <c r="J50" s="39"/>
      <c r="K50" s="12"/>
      <c r="L50" s="41"/>
      <c r="M50" s="13"/>
      <c r="N50" s="20"/>
      <c r="O50" s="16"/>
      <c r="P50" s="7"/>
      <c r="Q50" s="7"/>
      <c r="AC50" s="3"/>
    </row>
    <row r="51" spans="1:29" ht="24.95" customHeight="1" x14ac:dyDescent="0.3">
      <c r="A51" s="10"/>
      <c r="B51" s="10" t="s">
        <v>87</v>
      </c>
      <c r="C51" s="26" t="s">
        <v>83</v>
      </c>
      <c r="D51" s="28">
        <v>6</v>
      </c>
      <c r="E51" s="20" t="s">
        <v>15</v>
      </c>
      <c r="F51" s="31"/>
      <c r="G51" s="34"/>
      <c r="H51" s="36"/>
      <c r="I51" s="12"/>
      <c r="J51" s="39"/>
      <c r="K51" s="12"/>
      <c r="L51" s="41"/>
      <c r="M51" s="13"/>
      <c r="N51" s="20"/>
      <c r="O51" s="16"/>
      <c r="P51" s="7"/>
      <c r="Q51" s="7"/>
      <c r="AC51" s="3"/>
    </row>
    <row r="52" spans="1:29" ht="24.95" customHeight="1" x14ac:dyDescent="0.3">
      <c r="A52" s="10"/>
      <c r="B52" s="10" t="s">
        <v>88</v>
      </c>
      <c r="C52" s="26" t="s">
        <v>89</v>
      </c>
      <c r="D52" s="28">
        <v>1</v>
      </c>
      <c r="E52" s="20" t="s">
        <v>15</v>
      </c>
      <c r="F52" s="31"/>
      <c r="G52" s="34"/>
      <c r="H52" s="36"/>
      <c r="I52" s="12"/>
      <c r="J52" s="39"/>
      <c r="K52" s="12"/>
      <c r="L52" s="41"/>
      <c r="M52" s="13"/>
      <c r="N52" s="20"/>
      <c r="O52" s="16"/>
      <c r="P52" s="7"/>
      <c r="Q52" s="7"/>
      <c r="AC52" s="3"/>
    </row>
    <row r="53" spans="1:29" ht="24.95" customHeight="1" x14ac:dyDescent="0.3">
      <c r="A53" s="10"/>
      <c r="B53" s="10" t="s">
        <v>90</v>
      </c>
      <c r="C53" s="26" t="s">
        <v>91</v>
      </c>
      <c r="D53" s="28">
        <v>11</v>
      </c>
      <c r="E53" s="20" t="s">
        <v>15</v>
      </c>
      <c r="F53" s="31"/>
      <c r="G53" s="34"/>
      <c r="H53" s="36"/>
      <c r="I53" s="12"/>
      <c r="J53" s="39"/>
      <c r="K53" s="12"/>
      <c r="L53" s="41"/>
      <c r="M53" s="13"/>
      <c r="N53" s="20"/>
      <c r="O53" s="16"/>
      <c r="P53" s="7"/>
      <c r="Q53" s="7"/>
      <c r="AC53" s="3"/>
    </row>
    <row r="54" spans="1:29" ht="24.95" customHeight="1" x14ac:dyDescent="0.3">
      <c r="A54" s="10"/>
      <c r="B54" s="10" t="s">
        <v>92</v>
      </c>
      <c r="C54" s="26" t="s">
        <v>84</v>
      </c>
      <c r="D54" s="28">
        <v>3</v>
      </c>
      <c r="E54" s="20" t="s">
        <v>15</v>
      </c>
      <c r="F54" s="31"/>
      <c r="G54" s="34"/>
      <c r="H54" s="36"/>
      <c r="I54" s="12"/>
      <c r="J54" s="39"/>
      <c r="K54" s="12"/>
      <c r="L54" s="41"/>
      <c r="M54" s="13"/>
      <c r="N54" s="20"/>
      <c r="O54" s="16"/>
      <c r="P54" s="7"/>
      <c r="Q54" s="7"/>
      <c r="AC54" s="3"/>
    </row>
    <row r="55" spans="1:29" ht="24.95" customHeight="1" x14ac:dyDescent="0.3">
      <c r="A55" s="10"/>
      <c r="B55" s="10" t="s">
        <v>93</v>
      </c>
      <c r="C55" s="26" t="s">
        <v>94</v>
      </c>
      <c r="D55" s="28">
        <v>1</v>
      </c>
      <c r="E55" s="20" t="s">
        <v>15</v>
      </c>
      <c r="F55" s="31"/>
      <c r="G55" s="34"/>
      <c r="H55" s="36"/>
      <c r="I55" s="12"/>
      <c r="J55" s="39"/>
      <c r="K55" s="12"/>
      <c r="L55" s="41"/>
      <c r="M55" s="13"/>
      <c r="N55" s="20"/>
      <c r="O55" s="16"/>
      <c r="P55" s="7"/>
      <c r="Q55" s="7"/>
      <c r="AC55" s="3"/>
    </row>
    <row r="56" spans="1:29" ht="24.95" customHeight="1" x14ac:dyDescent="0.3">
      <c r="A56" s="10"/>
      <c r="B56" s="10" t="s">
        <v>93</v>
      </c>
      <c r="C56" s="26" t="s">
        <v>86</v>
      </c>
      <c r="D56" s="28">
        <v>2</v>
      </c>
      <c r="E56" s="20" t="s">
        <v>15</v>
      </c>
      <c r="F56" s="31"/>
      <c r="G56" s="34"/>
      <c r="H56" s="36"/>
      <c r="I56" s="12"/>
      <c r="J56" s="39"/>
      <c r="K56" s="12"/>
      <c r="L56" s="41"/>
      <c r="M56" s="13"/>
      <c r="N56" s="20"/>
      <c r="O56" s="16"/>
      <c r="P56" s="7"/>
      <c r="Q56" s="7"/>
      <c r="AC56" s="3"/>
    </row>
    <row r="57" spans="1:29" ht="24.95" customHeight="1" x14ac:dyDescent="0.3">
      <c r="A57" s="10"/>
      <c r="B57" s="10" t="s">
        <v>93</v>
      </c>
      <c r="C57" s="26" t="s">
        <v>83</v>
      </c>
      <c r="D57" s="28">
        <v>1</v>
      </c>
      <c r="E57" s="20" t="s">
        <v>15</v>
      </c>
      <c r="F57" s="31"/>
      <c r="G57" s="34"/>
      <c r="H57" s="36"/>
      <c r="I57" s="12"/>
      <c r="J57" s="39"/>
      <c r="K57" s="12"/>
      <c r="L57" s="41"/>
      <c r="M57" s="13"/>
      <c r="N57" s="20"/>
      <c r="O57" s="16"/>
      <c r="P57" s="7"/>
      <c r="Q57" s="7"/>
      <c r="AC57" s="3"/>
    </row>
    <row r="58" spans="1:29" ht="24.95" customHeight="1" x14ac:dyDescent="0.3">
      <c r="A58" s="10"/>
      <c r="B58" s="10" t="s">
        <v>93</v>
      </c>
      <c r="C58" s="26" t="s">
        <v>84</v>
      </c>
      <c r="D58" s="28">
        <v>1</v>
      </c>
      <c r="E58" s="20" t="s">
        <v>15</v>
      </c>
      <c r="F58" s="31"/>
      <c r="G58" s="34"/>
      <c r="H58" s="36"/>
      <c r="I58" s="12"/>
      <c r="J58" s="39"/>
      <c r="K58" s="12"/>
      <c r="L58" s="41"/>
      <c r="M58" s="13"/>
      <c r="N58" s="20"/>
      <c r="O58" s="16"/>
      <c r="P58" s="7"/>
      <c r="Q58" s="7"/>
      <c r="AC58" s="3"/>
    </row>
    <row r="59" spans="1:29" ht="24.95" customHeight="1" x14ac:dyDescent="0.3">
      <c r="A59" s="10"/>
      <c r="B59" s="10" t="s">
        <v>93</v>
      </c>
      <c r="C59" s="26" t="s">
        <v>95</v>
      </c>
      <c r="D59" s="28">
        <v>1</v>
      </c>
      <c r="E59" s="20" t="s">
        <v>15</v>
      </c>
      <c r="F59" s="31"/>
      <c r="G59" s="34"/>
      <c r="H59" s="36"/>
      <c r="I59" s="12"/>
      <c r="J59" s="39"/>
      <c r="K59" s="12"/>
      <c r="L59" s="41"/>
      <c r="M59" s="13"/>
      <c r="N59" s="20"/>
      <c r="O59" s="16"/>
      <c r="P59" s="7"/>
      <c r="Q59" s="7"/>
      <c r="AC59" s="3"/>
    </row>
    <row r="60" spans="1:29" ht="24.95" customHeight="1" x14ac:dyDescent="0.3">
      <c r="A60" s="10"/>
      <c r="B60" s="10" t="s">
        <v>93</v>
      </c>
      <c r="C60" s="26" t="s">
        <v>96</v>
      </c>
      <c r="D60" s="28">
        <v>1</v>
      </c>
      <c r="E60" s="20" t="s">
        <v>15</v>
      </c>
      <c r="F60" s="31"/>
      <c r="G60" s="34"/>
      <c r="H60" s="36"/>
      <c r="I60" s="12"/>
      <c r="J60" s="39"/>
      <c r="K60" s="12"/>
      <c r="L60" s="41"/>
      <c r="M60" s="13"/>
      <c r="N60" s="20"/>
      <c r="O60" s="16"/>
      <c r="P60" s="7"/>
      <c r="Q60" s="7"/>
      <c r="AC60" s="3"/>
    </row>
    <row r="61" spans="1:29" ht="24.95" customHeight="1" x14ac:dyDescent="0.3">
      <c r="A61" s="10"/>
      <c r="B61" s="10" t="s">
        <v>97</v>
      </c>
      <c r="C61" s="26" t="s">
        <v>89</v>
      </c>
      <c r="D61" s="28">
        <v>1</v>
      </c>
      <c r="E61" s="20" t="s">
        <v>15</v>
      </c>
      <c r="F61" s="31"/>
      <c r="G61" s="34"/>
      <c r="H61" s="36"/>
      <c r="I61" s="12"/>
      <c r="J61" s="39"/>
      <c r="K61" s="12"/>
      <c r="L61" s="41"/>
      <c r="M61" s="13"/>
      <c r="N61" s="20"/>
      <c r="O61" s="16"/>
      <c r="P61" s="7"/>
      <c r="Q61" s="7"/>
      <c r="AC61" s="3"/>
    </row>
    <row r="62" spans="1:29" ht="24.95" customHeight="1" x14ac:dyDescent="0.3">
      <c r="A62" s="10"/>
      <c r="B62" s="10" t="s">
        <v>98</v>
      </c>
      <c r="C62" s="26" t="s">
        <v>83</v>
      </c>
      <c r="D62" s="28">
        <v>1</v>
      </c>
      <c r="E62" s="20" t="s">
        <v>15</v>
      </c>
      <c r="F62" s="31"/>
      <c r="G62" s="34"/>
      <c r="H62" s="36"/>
      <c r="I62" s="12"/>
      <c r="J62" s="39"/>
      <c r="K62" s="12"/>
      <c r="L62" s="41"/>
      <c r="M62" s="13"/>
      <c r="N62" s="20"/>
      <c r="O62" s="16"/>
      <c r="P62" s="7"/>
      <c r="Q62" s="7"/>
      <c r="AC62" s="3"/>
    </row>
    <row r="63" spans="1:29" ht="24.95" customHeight="1" x14ac:dyDescent="0.3">
      <c r="A63" s="10"/>
      <c r="B63" s="10" t="s">
        <v>99</v>
      </c>
      <c r="C63" s="26" t="s">
        <v>86</v>
      </c>
      <c r="D63" s="28">
        <v>1</v>
      </c>
      <c r="E63" s="20" t="s">
        <v>15</v>
      </c>
      <c r="F63" s="31"/>
      <c r="G63" s="34"/>
      <c r="H63" s="36"/>
      <c r="I63" s="12"/>
      <c r="J63" s="39"/>
      <c r="K63" s="12"/>
      <c r="L63" s="41"/>
      <c r="M63" s="13"/>
      <c r="N63" s="20"/>
      <c r="O63" s="16"/>
      <c r="P63" s="7"/>
      <c r="Q63" s="7"/>
      <c r="AC63" s="3"/>
    </row>
    <row r="64" spans="1:29" ht="24.95" customHeight="1" x14ac:dyDescent="0.3">
      <c r="A64" s="10" t="s">
        <v>173</v>
      </c>
      <c r="B64" s="10" t="s">
        <v>174</v>
      </c>
      <c r="C64" s="26"/>
      <c r="D64" s="27"/>
      <c r="E64" s="20"/>
      <c r="F64" s="30"/>
      <c r="G64" s="33"/>
      <c r="H64" s="12"/>
      <c r="I64" s="38"/>
      <c r="J64" s="13"/>
      <c r="K64" s="38"/>
      <c r="L64" s="13"/>
      <c r="M64" s="38"/>
      <c r="N64" s="20"/>
      <c r="O64" s="16"/>
      <c r="P64" s="7"/>
      <c r="Q64" s="7"/>
    </row>
    <row r="65" spans="1:29" ht="24.95" customHeight="1" x14ac:dyDescent="0.3">
      <c r="A65" s="10"/>
      <c r="B65" s="10" t="s">
        <v>16</v>
      </c>
      <c r="C65" s="26" t="s">
        <v>17</v>
      </c>
      <c r="D65" s="28">
        <v>29</v>
      </c>
      <c r="E65" s="20" t="s">
        <v>15</v>
      </c>
      <c r="F65" s="31"/>
      <c r="G65" s="34"/>
      <c r="H65" s="36"/>
      <c r="I65" s="12"/>
      <c r="J65" s="39"/>
      <c r="K65" s="12"/>
      <c r="L65" s="41"/>
      <c r="M65" s="13"/>
      <c r="N65" s="20"/>
      <c r="O65" s="16"/>
      <c r="P65" s="7"/>
      <c r="Q65" s="7"/>
      <c r="AC65" s="3"/>
    </row>
    <row r="66" spans="1:29" ht="24.95" customHeight="1" x14ac:dyDescent="0.3">
      <c r="A66" s="24" t="s">
        <v>164</v>
      </c>
      <c r="B66" s="24" t="s">
        <v>168</v>
      </c>
      <c r="C66" s="25"/>
      <c r="D66" s="27"/>
      <c r="E66" s="20"/>
      <c r="F66" s="30"/>
      <c r="G66" s="33"/>
      <c r="H66" s="12"/>
      <c r="I66" s="38"/>
      <c r="J66" s="13"/>
      <c r="K66" s="38"/>
      <c r="L66" s="13"/>
      <c r="M66" s="38"/>
      <c r="N66" s="20"/>
      <c r="O66" s="16"/>
      <c r="P66" s="7"/>
      <c r="Q66" s="7"/>
    </row>
    <row r="67" spans="1:29" ht="24.95" customHeight="1" x14ac:dyDescent="0.3">
      <c r="A67" s="10"/>
      <c r="B67" s="10" t="s">
        <v>110</v>
      </c>
      <c r="C67" s="26" t="s">
        <v>111</v>
      </c>
      <c r="D67" s="28">
        <v>125.9</v>
      </c>
      <c r="E67" s="20" t="s">
        <v>42</v>
      </c>
      <c r="F67" s="31"/>
      <c r="G67" s="34"/>
      <c r="H67" s="36"/>
      <c r="I67" s="12"/>
      <c r="J67" s="39"/>
      <c r="K67" s="12"/>
      <c r="L67" s="41"/>
      <c r="M67" s="13"/>
      <c r="N67" s="20"/>
      <c r="O67" s="16"/>
      <c r="P67" s="7"/>
      <c r="Q67" s="7"/>
      <c r="AC67" s="3"/>
    </row>
    <row r="68" spans="1:29" ht="24.95" customHeight="1" x14ac:dyDescent="0.3">
      <c r="A68" s="10"/>
      <c r="B68" s="10" t="s">
        <v>112</v>
      </c>
      <c r="C68" s="26" t="s">
        <v>113</v>
      </c>
      <c r="D68" s="28">
        <v>125.9</v>
      </c>
      <c r="E68" s="20" t="s">
        <v>42</v>
      </c>
      <c r="F68" s="31"/>
      <c r="G68" s="34"/>
      <c r="H68" s="36"/>
      <c r="I68" s="12"/>
      <c r="J68" s="39"/>
      <c r="K68" s="12"/>
      <c r="L68" s="41"/>
      <c r="M68" s="13"/>
      <c r="N68" s="20"/>
      <c r="O68" s="16"/>
      <c r="P68" s="7"/>
      <c r="Q68" s="7"/>
      <c r="AC68" s="3"/>
    </row>
    <row r="69" spans="1:29" ht="24.95" customHeight="1" x14ac:dyDescent="0.3">
      <c r="A69" s="24" t="s">
        <v>175</v>
      </c>
      <c r="B69" s="24" t="s">
        <v>127</v>
      </c>
      <c r="C69" s="25"/>
      <c r="D69" s="27"/>
      <c r="E69" s="20"/>
      <c r="F69" s="30"/>
      <c r="G69" s="33"/>
      <c r="H69" s="12"/>
      <c r="I69" s="38"/>
      <c r="J69" s="13"/>
      <c r="K69" s="38"/>
      <c r="L69" s="13"/>
      <c r="M69" s="38"/>
      <c r="N69" s="20"/>
      <c r="O69" s="16"/>
      <c r="P69" s="7"/>
      <c r="Q69" s="7"/>
    </row>
    <row r="70" spans="1:29" ht="24.95" customHeight="1" x14ac:dyDescent="0.3">
      <c r="A70" s="10"/>
      <c r="B70" s="10" t="s">
        <v>26</v>
      </c>
      <c r="C70" s="26" t="s">
        <v>27</v>
      </c>
      <c r="D70" s="28">
        <v>1195.0999999999999</v>
      </c>
      <c r="E70" s="20" t="s">
        <v>28</v>
      </c>
      <c r="F70" s="31"/>
      <c r="G70" s="34"/>
      <c r="H70" s="36"/>
      <c r="I70" s="12"/>
      <c r="J70" s="39"/>
      <c r="K70" s="12"/>
      <c r="L70" s="41"/>
      <c r="M70" s="13"/>
      <c r="N70" s="20"/>
      <c r="O70" s="16"/>
      <c r="P70" s="7"/>
      <c r="Q70" s="7"/>
      <c r="AC70" s="3"/>
    </row>
    <row r="71" spans="1:29" ht="24.95" customHeight="1" x14ac:dyDescent="0.3">
      <c r="A71" s="10"/>
      <c r="B71" s="10" t="s">
        <v>108</v>
      </c>
      <c r="C71" s="26" t="s">
        <v>66</v>
      </c>
      <c r="D71" s="28">
        <v>13</v>
      </c>
      <c r="E71" s="20" t="s">
        <v>20</v>
      </c>
      <c r="F71" s="31"/>
      <c r="G71" s="34"/>
      <c r="H71" s="36"/>
      <c r="I71" s="12"/>
      <c r="J71" s="39"/>
      <c r="K71" s="12"/>
      <c r="L71" s="41"/>
      <c r="M71" s="13"/>
      <c r="N71" s="20"/>
      <c r="O71" s="16"/>
      <c r="P71" s="7"/>
      <c r="Q71" s="7"/>
      <c r="AC71" s="3"/>
    </row>
    <row r="72" spans="1:29" ht="24.95" customHeight="1" x14ac:dyDescent="0.3">
      <c r="A72" s="24" t="s">
        <v>176</v>
      </c>
      <c r="B72" s="24" t="s">
        <v>177</v>
      </c>
      <c r="C72" s="25"/>
      <c r="D72" s="27"/>
      <c r="E72" s="20"/>
      <c r="F72" s="30"/>
      <c r="G72" s="33"/>
      <c r="H72" s="12"/>
      <c r="I72" s="38"/>
      <c r="J72" s="13"/>
      <c r="K72" s="38"/>
      <c r="L72" s="13"/>
      <c r="M72" s="38"/>
      <c r="N72" s="20"/>
      <c r="O72" s="16"/>
      <c r="P72" s="7"/>
      <c r="Q72" s="7"/>
    </row>
    <row r="73" spans="1:29" ht="24.95" customHeight="1" x14ac:dyDescent="0.3">
      <c r="A73" s="10"/>
      <c r="B73" s="10" t="s">
        <v>101</v>
      </c>
      <c r="C73" s="26" t="s">
        <v>102</v>
      </c>
      <c r="D73" s="28">
        <v>1</v>
      </c>
      <c r="E73" s="20" t="s">
        <v>103</v>
      </c>
      <c r="F73" s="31"/>
      <c r="G73" s="34"/>
      <c r="H73" s="36"/>
      <c r="I73" s="12"/>
      <c r="J73" s="39"/>
      <c r="K73" s="12"/>
      <c r="L73" s="41"/>
      <c r="M73" s="13"/>
      <c r="N73" s="20"/>
      <c r="O73" s="16"/>
      <c r="P73" s="7"/>
      <c r="Q73" s="7"/>
      <c r="AC73" s="3"/>
    </row>
    <row r="74" spans="1:29" ht="24.95" customHeight="1" x14ac:dyDescent="0.3">
      <c r="A74" s="10"/>
      <c r="B74" s="10" t="s">
        <v>104</v>
      </c>
      <c r="C74" s="26" t="s">
        <v>105</v>
      </c>
      <c r="D74" s="28">
        <v>1</v>
      </c>
      <c r="E74" s="20" t="s">
        <v>103</v>
      </c>
      <c r="F74" s="31"/>
      <c r="G74" s="34"/>
      <c r="H74" s="36"/>
      <c r="I74" s="12"/>
      <c r="J74" s="39"/>
      <c r="K74" s="12"/>
      <c r="L74" s="41"/>
      <c r="M74" s="13"/>
      <c r="N74" s="20"/>
      <c r="O74" s="16"/>
      <c r="P74" s="7"/>
      <c r="Q74" s="7"/>
      <c r="AC74" s="3"/>
    </row>
    <row r="75" spans="1:29" ht="24.95" customHeight="1" x14ac:dyDescent="0.3">
      <c r="A75" s="10"/>
      <c r="B75" s="10" t="s">
        <v>106</v>
      </c>
      <c r="C75" s="26" t="s">
        <v>107</v>
      </c>
      <c r="D75" s="28">
        <v>1</v>
      </c>
      <c r="E75" s="20" t="s">
        <v>103</v>
      </c>
      <c r="F75" s="31"/>
      <c r="G75" s="34"/>
      <c r="H75" s="36"/>
      <c r="I75" s="12"/>
      <c r="J75" s="39"/>
      <c r="K75" s="12"/>
      <c r="L75" s="41"/>
      <c r="M75" s="13"/>
      <c r="N75" s="20"/>
      <c r="O75" s="16"/>
      <c r="P75" s="7"/>
      <c r="Q75" s="7"/>
      <c r="AC75" s="3"/>
    </row>
    <row r="76" spans="1:29" ht="24.95" customHeight="1" x14ac:dyDescent="0.3">
      <c r="A76" s="10"/>
      <c r="B76" s="10"/>
      <c r="C76" s="10"/>
      <c r="D76" s="29"/>
      <c r="E76" s="22"/>
      <c r="F76" s="32"/>
      <c r="G76" s="32"/>
      <c r="H76" s="32"/>
      <c r="I76" s="32"/>
      <c r="J76" s="32"/>
      <c r="K76" s="32"/>
      <c r="L76" s="32"/>
      <c r="M76" s="32"/>
      <c r="N76" s="20"/>
    </row>
    <row r="77" spans="1:29" ht="24.95" customHeight="1" x14ac:dyDescent="0.3">
      <c r="A77" s="10"/>
      <c r="B77" s="10"/>
      <c r="C77" s="10"/>
      <c r="D77" s="29"/>
      <c r="E77" s="22"/>
      <c r="F77" s="32"/>
      <c r="G77" s="32"/>
      <c r="H77" s="32"/>
      <c r="I77" s="32"/>
      <c r="J77" s="32"/>
      <c r="K77" s="32"/>
      <c r="L77" s="32"/>
      <c r="M77" s="32"/>
      <c r="N77" s="20"/>
    </row>
    <row r="78" spans="1:29" ht="24.95" customHeight="1" x14ac:dyDescent="0.3">
      <c r="A78" s="10"/>
      <c r="B78" s="10"/>
      <c r="C78" s="10"/>
      <c r="D78" s="29"/>
      <c r="E78" s="22"/>
      <c r="F78" s="32"/>
      <c r="G78" s="32"/>
      <c r="H78" s="32"/>
      <c r="I78" s="32"/>
      <c r="J78" s="32"/>
      <c r="K78" s="32"/>
      <c r="L78" s="32"/>
      <c r="M78" s="32"/>
      <c r="N78" s="20"/>
    </row>
    <row r="79" spans="1:29" ht="24.95" customHeight="1" x14ac:dyDescent="0.3">
      <c r="A79" s="10"/>
      <c r="B79" s="10"/>
      <c r="C79" s="10"/>
      <c r="D79" s="29"/>
      <c r="E79" s="22"/>
      <c r="F79" s="32"/>
      <c r="G79" s="32"/>
      <c r="H79" s="32"/>
      <c r="I79" s="32"/>
      <c r="J79" s="32"/>
      <c r="K79" s="32"/>
      <c r="L79" s="32"/>
      <c r="M79" s="32"/>
      <c r="N79" s="20"/>
    </row>
    <row r="80" spans="1:29" ht="24.95" customHeight="1" x14ac:dyDescent="0.3">
      <c r="A80" s="24" t="s">
        <v>158</v>
      </c>
      <c r="B80" s="24" t="s">
        <v>178</v>
      </c>
      <c r="C80" s="25"/>
      <c r="D80" s="27"/>
      <c r="E80" s="20"/>
      <c r="F80" s="30"/>
      <c r="G80" s="33"/>
      <c r="H80" s="12"/>
      <c r="I80" s="38"/>
      <c r="J80" s="13"/>
      <c r="K80" s="38"/>
      <c r="L80" s="13"/>
      <c r="M80" s="38"/>
      <c r="N80" s="20"/>
      <c r="O80" s="16"/>
      <c r="P80" s="7"/>
    </row>
    <row r="81" spans="1:29" ht="24.95" customHeight="1" x14ac:dyDescent="0.3">
      <c r="A81" s="10" t="s">
        <v>162</v>
      </c>
      <c r="B81" s="10" t="s">
        <v>179</v>
      </c>
      <c r="C81" s="26"/>
      <c r="D81" s="27"/>
      <c r="E81" s="20"/>
      <c r="F81" s="30"/>
      <c r="G81" s="33"/>
      <c r="H81" s="12"/>
      <c r="I81" s="38"/>
      <c r="J81" s="13"/>
      <c r="K81" s="38"/>
      <c r="L81" s="13"/>
      <c r="M81" s="38"/>
      <c r="N81" s="20"/>
      <c r="O81" s="16"/>
      <c r="P81" s="7"/>
      <c r="Q81" s="7"/>
    </row>
    <row r="82" spans="1:29" ht="24.95" customHeight="1" x14ac:dyDescent="0.3">
      <c r="A82" s="10" t="s">
        <v>169</v>
      </c>
      <c r="B82" s="10" t="s">
        <v>180</v>
      </c>
      <c r="C82" s="26"/>
      <c r="D82" s="27"/>
      <c r="E82" s="20"/>
      <c r="F82" s="30"/>
      <c r="G82" s="33"/>
      <c r="H82" s="12"/>
      <c r="I82" s="38"/>
      <c r="J82" s="13"/>
      <c r="K82" s="38"/>
      <c r="L82" s="13"/>
      <c r="M82" s="38"/>
      <c r="N82" s="20"/>
      <c r="O82" s="16"/>
      <c r="P82" s="7"/>
      <c r="Q82" s="7"/>
    </row>
    <row r="83" spans="1:29" ht="24.95" customHeight="1" x14ac:dyDescent="0.3">
      <c r="A83" s="10"/>
      <c r="B83" s="10" t="s">
        <v>120</v>
      </c>
      <c r="C83" s="26" t="s">
        <v>121</v>
      </c>
      <c r="D83" s="28">
        <v>2015</v>
      </c>
      <c r="E83" s="20" t="s">
        <v>13</v>
      </c>
      <c r="F83" s="31"/>
      <c r="G83" s="34"/>
      <c r="H83" s="36"/>
      <c r="I83" s="12"/>
      <c r="J83" s="40"/>
      <c r="K83" s="13"/>
      <c r="L83" s="40"/>
      <c r="M83" s="13"/>
      <c r="N83" s="20"/>
      <c r="O83" s="16"/>
      <c r="P83" s="7"/>
      <c r="Q83" s="7"/>
      <c r="AC83" s="3"/>
    </row>
    <row r="84" spans="1:29" ht="24.95" customHeight="1" x14ac:dyDescent="0.3">
      <c r="A84" s="10"/>
      <c r="B84" s="10" t="s">
        <v>120</v>
      </c>
      <c r="C84" s="26" t="s">
        <v>122</v>
      </c>
      <c r="D84" s="28">
        <v>568</v>
      </c>
      <c r="E84" s="20" t="s">
        <v>13</v>
      </c>
      <c r="F84" s="31"/>
      <c r="G84" s="34"/>
      <c r="H84" s="36"/>
      <c r="I84" s="12"/>
      <c r="J84" s="40"/>
      <c r="K84" s="13"/>
      <c r="L84" s="40"/>
      <c r="M84" s="13"/>
      <c r="N84" s="20"/>
      <c r="O84" s="16"/>
      <c r="P84" s="7"/>
      <c r="Q84" s="7"/>
      <c r="AC84" s="3"/>
    </row>
    <row r="85" spans="1:29" ht="24.95" customHeight="1" x14ac:dyDescent="0.3">
      <c r="A85" s="10" t="s">
        <v>171</v>
      </c>
      <c r="B85" s="10" t="s">
        <v>118</v>
      </c>
      <c r="C85" s="26"/>
      <c r="D85" s="27"/>
      <c r="E85" s="20"/>
      <c r="F85" s="30"/>
      <c r="G85" s="33"/>
      <c r="H85" s="12"/>
      <c r="I85" s="38"/>
      <c r="J85" s="13"/>
      <c r="K85" s="38"/>
      <c r="L85" s="13"/>
      <c r="M85" s="38"/>
      <c r="N85" s="20"/>
      <c r="O85" s="16"/>
      <c r="P85" s="7"/>
      <c r="Q85" s="7"/>
    </row>
    <row r="86" spans="1:29" ht="24.95" customHeight="1" x14ac:dyDescent="0.3">
      <c r="A86" s="10"/>
      <c r="B86" s="10" t="s">
        <v>118</v>
      </c>
      <c r="C86" s="26" t="s">
        <v>119</v>
      </c>
      <c r="D86" s="28">
        <v>471</v>
      </c>
      <c r="E86" s="20" t="s">
        <v>13</v>
      </c>
      <c r="F86" s="31"/>
      <c r="G86" s="34"/>
      <c r="H86" s="36"/>
      <c r="I86" s="12"/>
      <c r="J86" s="40"/>
      <c r="K86" s="13"/>
      <c r="L86" s="40"/>
      <c r="M86" s="13"/>
      <c r="N86" s="20"/>
      <c r="O86" s="16"/>
      <c r="P86" s="7"/>
      <c r="Q86" s="7"/>
      <c r="AC86" s="3"/>
    </row>
    <row r="87" spans="1:29" ht="24.95" customHeight="1" x14ac:dyDescent="0.3">
      <c r="A87" s="10" t="s">
        <v>173</v>
      </c>
      <c r="B87" s="10" t="s">
        <v>181</v>
      </c>
      <c r="C87" s="26"/>
      <c r="D87" s="27"/>
      <c r="E87" s="20"/>
      <c r="F87" s="30"/>
      <c r="G87" s="33"/>
      <c r="H87" s="12"/>
      <c r="I87" s="38"/>
      <c r="J87" s="13"/>
      <c r="K87" s="38"/>
      <c r="L87" s="13"/>
      <c r="M87" s="38"/>
      <c r="N87" s="20"/>
      <c r="O87" s="16"/>
      <c r="P87" s="7"/>
      <c r="Q87" s="7"/>
    </row>
    <row r="88" spans="1:29" ht="24.95" customHeight="1" x14ac:dyDescent="0.3">
      <c r="A88" s="10"/>
      <c r="B88" s="10" t="s">
        <v>123</v>
      </c>
      <c r="C88" s="26" t="s">
        <v>124</v>
      </c>
      <c r="D88" s="28">
        <v>1</v>
      </c>
      <c r="E88" s="20" t="s">
        <v>20</v>
      </c>
      <c r="F88" s="31"/>
      <c r="G88" s="34"/>
      <c r="H88" s="36"/>
      <c r="I88" s="12"/>
      <c r="J88" s="40"/>
      <c r="K88" s="13"/>
      <c r="L88" s="40"/>
      <c r="M88" s="13"/>
      <c r="N88" s="20"/>
      <c r="O88" s="16"/>
      <c r="P88" s="7"/>
      <c r="Q88" s="7"/>
      <c r="AC88" s="3"/>
    </row>
    <row r="89" spans="1:29" ht="24.95" customHeight="1" x14ac:dyDescent="0.3">
      <c r="A89" s="10"/>
      <c r="B89" s="10" t="s">
        <v>125</v>
      </c>
      <c r="C89" s="26" t="s">
        <v>126</v>
      </c>
      <c r="D89" s="28">
        <v>7</v>
      </c>
      <c r="E89" s="20" t="s">
        <v>28</v>
      </c>
      <c r="F89" s="31"/>
      <c r="G89" s="34"/>
      <c r="H89" s="36"/>
      <c r="I89" s="12"/>
      <c r="J89" s="40"/>
      <c r="K89" s="13"/>
      <c r="L89" s="40"/>
      <c r="M89" s="13"/>
      <c r="N89" s="20"/>
      <c r="O89" s="16"/>
      <c r="P89" s="7"/>
      <c r="Q89" s="7"/>
      <c r="AC89" s="3"/>
    </row>
    <row r="90" spans="1:29" ht="24.95" customHeight="1" x14ac:dyDescent="0.3">
      <c r="A90" s="10"/>
      <c r="B90" s="10" t="s">
        <v>128</v>
      </c>
      <c r="C90" s="26" t="s">
        <v>129</v>
      </c>
      <c r="D90" s="28">
        <v>0.54</v>
      </c>
      <c r="E90" s="20" t="s">
        <v>130</v>
      </c>
      <c r="F90" s="31"/>
      <c r="G90" s="34"/>
      <c r="H90" s="37"/>
      <c r="I90" s="13"/>
      <c r="J90" s="40"/>
      <c r="K90" s="13"/>
      <c r="L90" s="40"/>
      <c r="M90" s="13"/>
      <c r="N90" s="20"/>
      <c r="O90" s="16"/>
      <c r="P90" s="7"/>
      <c r="Q90" s="7"/>
      <c r="AC90" s="3"/>
    </row>
    <row r="91" spans="1:29" ht="24.95" customHeight="1" x14ac:dyDescent="0.3">
      <c r="A91" s="24" t="s">
        <v>182</v>
      </c>
      <c r="B91" s="24" t="s">
        <v>183</v>
      </c>
      <c r="C91" s="25"/>
      <c r="D91" s="27"/>
      <c r="E91" s="20"/>
      <c r="F91" s="30"/>
      <c r="G91" s="33"/>
      <c r="H91" s="12"/>
      <c r="I91" s="38"/>
      <c r="J91" s="13"/>
      <c r="K91" s="38"/>
      <c r="L91" s="13"/>
      <c r="M91" s="38"/>
      <c r="N91" s="20"/>
      <c r="O91" s="16"/>
      <c r="P91" s="7"/>
    </row>
    <row r="92" spans="1:29" ht="24.95" customHeight="1" x14ac:dyDescent="0.3">
      <c r="A92" s="10"/>
      <c r="B92" s="10" t="s">
        <v>137</v>
      </c>
      <c r="C92" s="26"/>
      <c r="D92" s="28">
        <v>5.3</v>
      </c>
      <c r="E92" s="20" t="s">
        <v>10</v>
      </c>
      <c r="F92" s="31"/>
      <c r="G92" s="34"/>
      <c r="H92" s="36"/>
      <c r="I92" s="12"/>
      <c r="J92" s="39"/>
      <c r="K92" s="12"/>
      <c r="L92" s="41"/>
      <c r="M92" s="13"/>
      <c r="N92" s="20"/>
      <c r="O92" s="16"/>
      <c r="P92" s="7"/>
      <c r="Q92" s="7"/>
      <c r="AC92" s="3"/>
    </row>
    <row r="93" spans="1:29" ht="24.95" customHeight="1" x14ac:dyDescent="0.3">
      <c r="A93" s="10"/>
      <c r="B93" s="10" t="s">
        <v>138</v>
      </c>
      <c r="C93" s="26" t="s">
        <v>133</v>
      </c>
      <c r="D93" s="28">
        <v>5.3</v>
      </c>
      <c r="E93" s="20" t="s">
        <v>10</v>
      </c>
      <c r="F93" s="31"/>
      <c r="G93" s="34"/>
      <c r="H93" s="36"/>
      <c r="I93" s="12"/>
      <c r="J93" s="39"/>
      <c r="K93" s="12"/>
      <c r="L93" s="41"/>
      <c r="M93" s="13"/>
      <c r="N93" s="20"/>
      <c r="O93" s="16"/>
      <c r="P93" s="7"/>
      <c r="Q93" s="7"/>
      <c r="AC93" s="3"/>
    </row>
    <row r="94" spans="1:29" ht="24.95" customHeight="1" x14ac:dyDescent="0.3">
      <c r="A94" s="10"/>
      <c r="B94" s="10" t="s">
        <v>134</v>
      </c>
      <c r="C94" s="26" t="s">
        <v>135</v>
      </c>
      <c r="D94" s="28">
        <v>10.38</v>
      </c>
      <c r="E94" s="20" t="s">
        <v>10</v>
      </c>
      <c r="F94" s="31"/>
      <c r="G94" s="34"/>
      <c r="H94" s="36"/>
      <c r="I94" s="12"/>
      <c r="J94" s="39"/>
      <c r="K94" s="12"/>
      <c r="L94" s="41"/>
      <c r="M94" s="13"/>
      <c r="N94" s="20"/>
      <c r="O94" s="16"/>
      <c r="P94" s="7"/>
      <c r="Q94" s="7"/>
      <c r="AC94" s="3"/>
    </row>
    <row r="95" spans="1:29" ht="24.95" customHeight="1" x14ac:dyDescent="0.3">
      <c r="A95" s="10"/>
      <c r="B95" s="10" t="s">
        <v>136</v>
      </c>
      <c r="C95" s="26" t="s">
        <v>133</v>
      </c>
      <c r="D95" s="28">
        <v>10.38</v>
      </c>
      <c r="E95" s="20" t="s">
        <v>10</v>
      </c>
      <c r="F95" s="31"/>
      <c r="G95" s="34"/>
      <c r="H95" s="36"/>
      <c r="I95" s="12"/>
      <c r="J95" s="39"/>
      <c r="K95" s="12"/>
      <c r="L95" s="41"/>
      <c r="M95" s="13"/>
      <c r="N95" s="20"/>
      <c r="O95" s="16"/>
      <c r="P95" s="7"/>
      <c r="Q95" s="7"/>
      <c r="AC95" s="3"/>
    </row>
    <row r="96" spans="1:29" ht="24.95" customHeight="1" x14ac:dyDescent="0.3">
      <c r="A96" s="10"/>
      <c r="B96" s="10" t="s">
        <v>131</v>
      </c>
      <c r="C96" s="26"/>
      <c r="D96" s="28">
        <v>2.2000000000000002</v>
      </c>
      <c r="E96" s="20" t="s">
        <v>10</v>
      </c>
      <c r="F96" s="31"/>
      <c r="G96" s="34"/>
      <c r="H96" s="36"/>
      <c r="I96" s="12"/>
      <c r="J96" s="39"/>
      <c r="K96" s="12"/>
      <c r="L96" s="41"/>
      <c r="M96" s="13"/>
      <c r="N96" s="20"/>
      <c r="O96" s="16"/>
      <c r="P96" s="7"/>
      <c r="Q96" s="7"/>
      <c r="AC96" s="3"/>
    </row>
    <row r="97" spans="1:29" ht="24.95" customHeight="1" x14ac:dyDescent="0.3">
      <c r="A97" s="10"/>
      <c r="B97" s="10" t="s">
        <v>132</v>
      </c>
      <c r="C97" s="26" t="s">
        <v>133</v>
      </c>
      <c r="D97" s="28">
        <v>2.2000000000000002</v>
      </c>
      <c r="E97" s="20" t="s">
        <v>10</v>
      </c>
      <c r="F97" s="31"/>
      <c r="G97" s="34"/>
      <c r="H97" s="36"/>
      <c r="I97" s="12"/>
      <c r="J97" s="39"/>
      <c r="K97" s="12"/>
      <c r="L97" s="41"/>
      <c r="M97" s="13"/>
      <c r="N97" s="20"/>
      <c r="O97" s="16"/>
      <c r="P97" s="7"/>
      <c r="Q97" s="7"/>
      <c r="AC97" s="3"/>
    </row>
    <row r="98" spans="1:29" ht="24.95" customHeight="1" x14ac:dyDescent="0.3">
      <c r="A98" s="10"/>
      <c r="B98" s="10"/>
      <c r="C98" s="10"/>
      <c r="D98" s="29"/>
      <c r="E98" s="22"/>
      <c r="F98" s="32"/>
      <c r="G98" s="32"/>
      <c r="H98" s="32"/>
      <c r="I98" s="32"/>
      <c r="J98" s="32"/>
      <c r="K98" s="32"/>
      <c r="L98" s="32"/>
      <c r="M98" s="32"/>
      <c r="N98" s="20"/>
    </row>
    <row r="99" spans="1:29" ht="24.95" customHeight="1" x14ac:dyDescent="0.3">
      <c r="A99" s="10"/>
      <c r="B99" s="10"/>
      <c r="C99" s="10"/>
      <c r="D99" s="29"/>
      <c r="E99" s="22"/>
      <c r="F99" s="32"/>
      <c r="G99" s="32"/>
      <c r="H99" s="32"/>
      <c r="I99" s="32"/>
      <c r="J99" s="32"/>
      <c r="K99" s="32"/>
      <c r="L99" s="32"/>
      <c r="M99" s="32"/>
      <c r="N99" s="20"/>
    </row>
    <row r="100" spans="1:29" ht="24.95" customHeight="1" x14ac:dyDescent="0.3">
      <c r="A100" s="10"/>
      <c r="B100" s="10"/>
      <c r="C100" s="10"/>
      <c r="D100" s="29"/>
      <c r="E100" s="22"/>
      <c r="F100" s="32"/>
      <c r="G100" s="32"/>
      <c r="H100" s="32"/>
      <c r="I100" s="32"/>
      <c r="J100" s="32"/>
      <c r="K100" s="32"/>
      <c r="L100" s="32"/>
      <c r="M100" s="32"/>
      <c r="N100" s="20"/>
    </row>
    <row r="101" spans="1:29" ht="24.95" customHeight="1" x14ac:dyDescent="0.3">
      <c r="A101" s="10"/>
      <c r="B101" s="10"/>
      <c r="C101" s="10"/>
      <c r="D101" s="29"/>
      <c r="E101" s="22"/>
      <c r="F101" s="32"/>
      <c r="G101" s="32"/>
      <c r="H101" s="32"/>
      <c r="I101" s="32"/>
      <c r="J101" s="32"/>
      <c r="K101" s="32"/>
      <c r="L101" s="32"/>
      <c r="M101" s="32"/>
      <c r="N101" s="20"/>
    </row>
    <row r="102" spans="1:29" ht="24.95" customHeight="1" x14ac:dyDescent="0.3">
      <c r="A102" s="10"/>
      <c r="B102" s="10"/>
      <c r="C102" s="10"/>
      <c r="D102" s="29"/>
      <c r="E102" s="22"/>
      <c r="F102" s="32"/>
      <c r="G102" s="32"/>
      <c r="H102" s="32"/>
      <c r="I102" s="32"/>
      <c r="J102" s="32"/>
      <c r="K102" s="32"/>
      <c r="L102" s="32"/>
      <c r="M102" s="32"/>
      <c r="N102" s="20"/>
    </row>
    <row r="103" spans="1:29" ht="24.95" customHeight="1" x14ac:dyDescent="0.3">
      <c r="A103" s="10"/>
      <c r="B103" s="10"/>
      <c r="C103" s="10"/>
      <c r="D103" s="29"/>
      <c r="E103" s="22"/>
      <c r="F103" s="32"/>
      <c r="G103" s="32"/>
      <c r="H103" s="32"/>
      <c r="I103" s="32"/>
      <c r="J103" s="32"/>
      <c r="K103" s="32"/>
      <c r="L103" s="32"/>
      <c r="M103" s="32"/>
      <c r="N103" s="20"/>
    </row>
    <row r="104" spans="1:29" ht="24.95" customHeight="1" x14ac:dyDescent="0.3">
      <c r="A104" s="10"/>
      <c r="B104" s="10"/>
      <c r="C104" s="10"/>
      <c r="D104" s="29"/>
      <c r="E104" s="22"/>
      <c r="F104" s="32"/>
      <c r="G104" s="32"/>
      <c r="H104" s="32"/>
      <c r="I104" s="32"/>
      <c r="J104" s="32"/>
      <c r="K104" s="32"/>
      <c r="L104" s="32"/>
      <c r="M104" s="32"/>
      <c r="N104" s="20"/>
    </row>
    <row r="105" spans="1:29" hidden="1" x14ac:dyDescent="0.3">
      <c r="B105" s="7" t="s">
        <v>155</v>
      </c>
      <c r="G105" s="35"/>
      <c r="I105" s="35"/>
      <c r="K105" s="35"/>
      <c r="M105" s="35"/>
    </row>
  </sheetData>
  <mergeCells count="12">
    <mergeCell ref="N3:N4"/>
    <mergeCell ref="B5:C5"/>
    <mergeCell ref="A1:N1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honeticPr fontId="21" type="noConversion"/>
  <conditionalFormatting sqref="D5:D105">
    <cfRule type="expression" dxfId="1" priority="1" stopIfTrue="1">
      <formula>AND(D5&lt;&gt;0,INT(D5)=D5)</formula>
    </cfRule>
  </conditionalFormatting>
  <conditionalFormatting sqref="F5:N105">
    <cfRule type="expression" dxfId="0" priority="2" stopIfTrue="1">
      <formula>AND(F5&lt;&gt;0,INT(F5)=F5)</formula>
    </cfRule>
  </conditionalFormatting>
  <hyperlinks>
    <hyperlink ref="AC1" r:id="rId1" tooltip="설계예산시스템(STmate w26.02)으로 작성 하였으며,_x000a_엑셀 인쇄품질 600 dpi에 최적화 되어 있습니다._x000a_경영정보(주) http://www.stma.co.kr_x000a_Tel) 070-4350-0040_x000a_Fax) 0505-300-3948" xr:uid="{EF4C6FAB-B391-438C-8403-707B7CA8B41F}"/>
    <hyperlink ref="O1" r:id="rId2" tooltip="설계예산시스템(STmate w26.02)으로 작성 하였으며,_x000a_엑셀 인쇄품질 600 dpi에 최적화 되어 있습니다._x000a_경영정보(주) http://www.stma.co.kr_x000a_Tel) 070-4350-0040_x000a_Fax) 0505-300-3948" xr:uid="{E27FB001-064D-4D0B-A4CC-5FAD4B5A33A3}"/>
  </hyperlinks>
  <printOptions horizontalCentered="1"/>
  <pageMargins left="0.78740157480314965" right="0.78740157480314965" top="0.59055118110236215" bottom="0.59055118110236215" header="0" footer="0.39370078740157477"/>
  <pageSetup paperSize="9" scale="6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35A-B9B2-4844-84A9-22CD663ADB84}">
  <sheetPr>
    <tabColor rgb="FF0000FF"/>
  </sheetPr>
  <dimension ref="B2:X80"/>
  <sheetViews>
    <sheetView workbookViewId="0"/>
  </sheetViews>
  <sheetFormatPr defaultColWidth="9.125" defaultRowHeight="16.5" x14ac:dyDescent="0.3"/>
  <cols>
    <col min="1" max="1" width="9.125" style="67" customWidth="1"/>
    <col min="2" max="2" width="16.75" style="67" customWidth="1"/>
    <col min="3" max="3" width="15.25" style="67" customWidth="1"/>
    <col min="4" max="24" width="2.5" style="67" customWidth="1"/>
    <col min="25" max="16384" width="9.125" style="67"/>
  </cols>
  <sheetData>
    <row r="2" spans="2:24" ht="19.5" x14ac:dyDescent="0.3">
      <c r="B2" s="109" t="s">
        <v>284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4" spans="2:24" hidden="1" x14ac:dyDescent="0.3">
      <c r="B4" s="68" t="s">
        <v>285</v>
      </c>
      <c r="C4" s="71" t="b">
        <f ca="1">ISERROR(SUM(C6:X15,C18:X23))</f>
        <v>1</v>
      </c>
      <c r="D4" s="75">
        <f>ROW(C24)</f>
        <v>24</v>
      </c>
    </row>
    <row r="5" spans="2:24" hidden="1" x14ac:dyDescent="0.3">
      <c r="B5" s="69" t="s">
        <v>286</v>
      </c>
      <c r="C5" s="69" t="s">
        <v>287</v>
      </c>
      <c r="D5" s="69" t="s">
        <v>288</v>
      </c>
      <c r="E5" s="69" t="s">
        <v>289</v>
      </c>
      <c r="F5" s="69" t="s">
        <v>290</v>
      </c>
      <c r="G5" s="69" t="s">
        <v>291</v>
      </c>
      <c r="H5" s="69" t="s">
        <v>266</v>
      </c>
      <c r="I5" s="69" t="s">
        <v>292</v>
      </c>
      <c r="J5" s="69" t="s">
        <v>293</v>
      </c>
      <c r="K5" s="69" t="s">
        <v>294</v>
      </c>
      <c r="L5" s="69" t="s">
        <v>295</v>
      </c>
      <c r="M5" s="69" t="s">
        <v>296</v>
      </c>
      <c r="N5" s="69" t="s">
        <v>297</v>
      </c>
      <c r="O5" s="69" t="s">
        <v>298</v>
      </c>
      <c r="P5" s="69" t="s">
        <v>299</v>
      </c>
      <c r="Q5" s="69" t="s">
        <v>300</v>
      </c>
      <c r="R5" s="69" t="s">
        <v>301</v>
      </c>
      <c r="S5" s="69" t="s">
        <v>302</v>
      </c>
      <c r="T5" s="69" t="s">
        <v>303</v>
      </c>
      <c r="U5" s="69" t="s">
        <v>304</v>
      </c>
      <c r="V5" s="69" t="s">
        <v>305</v>
      </c>
      <c r="W5" s="69" t="s">
        <v>306</v>
      </c>
      <c r="X5" s="69" t="s">
        <v>307</v>
      </c>
    </row>
    <row r="6" spans="2:24" hidden="1" x14ac:dyDescent="0.3">
      <c r="B6" s="70" t="s">
        <v>308</v>
      </c>
      <c r="C6" s="72" t="e">
        <f ca="1">IF(D6="","재료비목록표",MID(D6,FIND("]",D6)+1,LEN(D6)))</f>
        <v>#REF!</v>
      </c>
      <c r="D6" s="72" t="e">
        <f ca="1">CELL("filename",#REF!)</f>
        <v>#REF!</v>
      </c>
      <c r="E6" s="76"/>
      <c r="F6" s="77" t="e">
        <f ca="1">HYPERLINK("#"&amp;C6&amp;"!"&amp;ADDRESS(3,COLUMN(#REF!),1),COLUMN(#REF!))</f>
        <v>#REF!</v>
      </c>
      <c r="G6" s="77" t="e">
        <f ca="1">HYPERLINK("#"&amp;C6&amp;"!"&amp;ADDRESS(3,COLUMN(#REF!),1),COLUMN(#REF!))</f>
        <v>#REF!</v>
      </c>
      <c r="H6" s="76"/>
      <c r="I6" s="77" t="e">
        <f ca="1">HYPERLINK("#"&amp;C6&amp;"!"&amp;ADDRESS(3,COLUMN(#REF!),1),COLUMN(#REF!))</f>
        <v>#REF!</v>
      </c>
      <c r="J6" s="77" t="e">
        <f ca="1">HYPERLINK("#"&amp;C6&amp;"!A"&amp;ROW(#REF!),ROW(#REF!))</f>
        <v>#REF!</v>
      </c>
      <c r="K6" s="77" t="e">
        <f ca="1">HYPERLINK("#"&amp;C6&amp;"!A"&amp;ROW(#REF!),ROW(#REF!))</f>
        <v>#REF!</v>
      </c>
      <c r="L6" s="77" t="e">
        <f ca="1">HYPERLINK("#"&amp;C6&amp;"!"&amp;ADDRESS(3,COLUMN(#REF!),1),COLUMN(#REF!))</f>
        <v>#REF!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 t="e">
        <f ca="1">HYPERLINK("#"&amp;C6&amp;"!"&amp;ADDRESS(3,COLUMN(#REF!),1),COLUMN(#REF!))</f>
        <v>#REF!</v>
      </c>
    </row>
    <row r="7" spans="2:24" hidden="1" x14ac:dyDescent="0.3">
      <c r="B7" s="70" t="s">
        <v>309</v>
      </c>
      <c r="C7" s="72" t="e">
        <f ca="1">IF(D7="","노무비목록표",MID(D7,FIND("]",D7)+1,LEN(D7)))</f>
        <v>#REF!</v>
      </c>
      <c r="D7" s="72" t="e">
        <f ca="1">CELL("filename",#REF!)</f>
        <v>#REF!</v>
      </c>
      <c r="E7" s="76"/>
      <c r="F7" s="77" t="e">
        <f ca="1">HYPERLINK("#"&amp;C7&amp;"!"&amp;ADDRESS(3,COLUMN(#REF!),1),COLUMN(#REF!))</f>
        <v>#REF!</v>
      </c>
      <c r="G7" s="77" t="e">
        <f ca="1">HYPERLINK("#"&amp;C7&amp;"!"&amp;ADDRESS(3,COLUMN(#REF!),1),COLUMN(#REF!))</f>
        <v>#REF!</v>
      </c>
      <c r="H7" s="76"/>
      <c r="I7" s="77" t="e">
        <f ca="1">HYPERLINK("#"&amp;C7&amp;"!"&amp;ADDRESS(3,COLUMN(#REF!),1),COLUMN(#REF!))</f>
        <v>#REF!</v>
      </c>
      <c r="J7" s="77" t="e">
        <f ca="1">HYPERLINK("#"&amp;C7&amp;"!A"&amp;ROW(#REF!),ROW(#REF!))</f>
        <v>#REF!</v>
      </c>
      <c r="K7" s="77" t="e">
        <f ca="1">HYPERLINK("#"&amp;C7&amp;"!A"&amp;ROW(#REF!),ROW(#REF!))</f>
        <v>#REF!</v>
      </c>
      <c r="L7" s="77" t="e">
        <f ca="1">HYPERLINK("#"&amp;C7&amp;"!"&amp;ADDRESS(3,COLUMN(#REF!),1),COLUMN(#REF!))</f>
        <v>#REF!</v>
      </c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 t="e">
        <f ca="1">HYPERLINK("#"&amp;C7&amp;"!"&amp;ADDRESS(3,COLUMN(#REF!),1),COLUMN(#REF!))</f>
        <v>#REF!</v>
      </c>
    </row>
    <row r="8" spans="2:24" hidden="1" x14ac:dyDescent="0.3">
      <c r="B8" s="70" t="s">
        <v>310</v>
      </c>
      <c r="C8" s="72" t="e">
        <f ca="1">IF(D8="","경비목록표",MID(D8,FIND("]",D8)+1,LEN(D8)))</f>
        <v>#REF!</v>
      </c>
      <c r="D8" s="72" t="e">
        <f ca="1">CELL("filename",#REF!)</f>
        <v>#REF!</v>
      </c>
      <c r="E8" s="76"/>
      <c r="F8" s="77" t="e">
        <f ca="1">HYPERLINK("#"&amp;C8&amp;"!"&amp;ADDRESS(3,COLUMN(#REF!),1),COLUMN(#REF!))</f>
        <v>#REF!</v>
      </c>
      <c r="G8" s="77" t="e">
        <f ca="1">HYPERLINK("#"&amp;C8&amp;"!"&amp;ADDRESS(3,COLUMN(#REF!),1),COLUMN(#REF!))</f>
        <v>#REF!</v>
      </c>
      <c r="H8" s="76"/>
      <c r="I8" s="77" t="e">
        <f ca="1">HYPERLINK("#"&amp;C8&amp;"!"&amp;ADDRESS(3,COLUMN(#REF!),1),COLUMN(#REF!))</f>
        <v>#REF!</v>
      </c>
      <c r="J8" s="77" t="e">
        <f ca="1">HYPERLINK("#"&amp;C8&amp;"!A"&amp;ROW(#REF!),ROW(#REF!))</f>
        <v>#REF!</v>
      </c>
      <c r="K8" s="77" t="e">
        <f ca="1">HYPERLINK("#"&amp;C8&amp;"!A"&amp;ROW(#REF!),ROW(#REF!))</f>
        <v>#REF!</v>
      </c>
      <c r="L8" s="77" t="e">
        <f ca="1">HYPERLINK("#"&amp;C8&amp;"!"&amp;ADDRESS(3,COLUMN(#REF!),1),COLUMN(#REF!))</f>
        <v>#REF!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 t="e">
        <f ca="1">HYPERLINK("#"&amp;C8&amp;"!"&amp;ADDRESS(3,COLUMN(#REF!),1),COLUMN(#REF!))</f>
        <v>#REF!</v>
      </c>
    </row>
    <row r="9" spans="2:24" hidden="1" x14ac:dyDescent="0.3">
      <c r="B9" s="70" t="s">
        <v>311</v>
      </c>
      <c r="C9" s="72" t="e">
        <f ca="1">IF(D9="","일식견적목록표",MID(D9,FIND("]",D9)+1,LEN(D9)))</f>
        <v>#REF!</v>
      </c>
      <c r="D9" s="72" t="e">
        <f ca="1">CELL("filename",#REF!)</f>
        <v>#REF!</v>
      </c>
      <c r="E9" s="76"/>
      <c r="F9" s="77" t="e">
        <f ca="1">HYPERLINK("#"&amp;C9&amp;"!"&amp;ADDRESS(3,COLUMN(#REF!),1),COLUMN(#REF!))</f>
        <v>#REF!</v>
      </c>
      <c r="G9" s="77" t="e">
        <f ca="1">HYPERLINK("#"&amp;C9&amp;"!"&amp;ADDRESS(3,COLUMN(#REF!),1),COLUMN(#REF!))</f>
        <v>#REF!</v>
      </c>
      <c r="H9" s="76"/>
      <c r="I9" s="77" t="e">
        <f ca="1">HYPERLINK("#"&amp;C9&amp;"!"&amp;ADDRESS(3,COLUMN(#REF!),1),COLUMN(#REF!))</f>
        <v>#REF!</v>
      </c>
      <c r="J9" s="77" t="e">
        <f ca="1">HYPERLINK("#"&amp;C9&amp;"!A"&amp;ROW(#REF!),ROW(#REF!))</f>
        <v>#REF!</v>
      </c>
      <c r="K9" s="77" t="e">
        <f ca="1">HYPERLINK("#"&amp;C9&amp;"!A"&amp;ROW(#REF!),ROW(#REF!))</f>
        <v>#REF!</v>
      </c>
      <c r="L9" s="77" t="e">
        <f ca="1">HYPERLINK("#"&amp;C9&amp;"!"&amp;ADDRESS(3,COLUMN(#REF!),1),COLUMN(#REF!))</f>
        <v>#REF!</v>
      </c>
      <c r="M9" s="76"/>
      <c r="N9" s="77" t="e">
        <f ca="1">HYPERLINK("#"&amp;C9&amp;"!"&amp;ADDRESS(3,COLUMN(#REF!),1),COLUMN(#REF!))</f>
        <v>#REF!</v>
      </c>
      <c r="O9" s="76"/>
      <c r="P9" s="77" t="e">
        <f ca="1">HYPERLINK("#"&amp;C9&amp;"!"&amp;ADDRESS(3,COLUMN(#REF!),1),COLUMN(#REF!))</f>
        <v>#REF!</v>
      </c>
      <c r="Q9" s="76"/>
      <c r="R9" s="77" t="e">
        <f ca="1">HYPERLINK("#"&amp;C9&amp;"!"&amp;ADDRESS(3,COLUMN(#REF!),1),COLUMN(#REF!))</f>
        <v>#REF!</v>
      </c>
      <c r="S9" s="76"/>
      <c r="T9" s="76"/>
      <c r="U9" s="76"/>
      <c r="V9" s="76"/>
      <c r="W9" s="76"/>
      <c r="X9" s="77" t="e">
        <f ca="1">HYPERLINK("#"&amp;C9&amp;"!"&amp;ADDRESS(3,COLUMN(#REF!),1),COLUMN(#REF!))</f>
        <v>#REF!</v>
      </c>
    </row>
    <row r="10" spans="2:24" hidden="1" x14ac:dyDescent="0.3">
      <c r="B10" s="70" t="s">
        <v>312</v>
      </c>
      <c r="C10" s="72" t="e">
        <f ca="1">IF(D10="","환율및기초자료",MID(D10,FIND("]",D10)+1,LEN(D10)))</f>
        <v>#REF!</v>
      </c>
      <c r="D10" s="72" t="e">
        <f ca="1">CELL("filename",#REF!)</f>
        <v>#REF!</v>
      </c>
      <c r="E10" s="77" t="e">
        <f ca="1">HYPERLINK("#"&amp;C10&amp;"!"&amp;ADDRESS(5,COLUMN(#REF!),1),COLUMN(#REF!))</f>
        <v>#REF!</v>
      </c>
      <c r="F10" s="77" t="e">
        <f ca="1">HYPERLINK("#"&amp;C10&amp;"!"&amp;ADDRESS(5,COLUMN(#REF!),1),COLUMN(#REF!))</f>
        <v>#REF!</v>
      </c>
      <c r="G10" s="77" t="e">
        <f ca="1">HYPERLINK("#"&amp;C10&amp;"!"&amp;ADDRESS(5,COLUMN(#REF!),1),COLUMN(#REF!))</f>
        <v>#REF!</v>
      </c>
      <c r="H10" s="76"/>
      <c r="I10" s="77" t="e">
        <f ca="1">HYPERLINK("#"&amp;C10&amp;"!"&amp;ADDRESS(5,COLUMN(#REF!),1),COLUMN(#REF!))</f>
        <v>#REF!</v>
      </c>
      <c r="J10" s="77" t="e">
        <f ca="1">HYPERLINK("#"&amp;C10&amp;"!A"&amp;ROW(#REF!),ROW(#REF!))</f>
        <v>#REF!</v>
      </c>
      <c r="K10" s="77" t="e">
        <f ca="1">HYPERLINK("#"&amp;C10&amp;"!A"&amp;ROW(#REF!),ROW(#REF!))</f>
        <v>#REF!</v>
      </c>
      <c r="L10" s="77" t="e">
        <f ca="1">HYPERLINK("#"&amp;C10&amp;"!"&amp;ADDRESS(5,COLUMN(#REF!),1),COLUMN(#REF!))</f>
        <v>#REF!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 t="e">
        <f ca="1">HYPERLINK("#"&amp;C10&amp;"!"&amp;ADDRESS(5,COLUMN(#REF!),1),COLUMN(#REF!))</f>
        <v>#REF!</v>
      </c>
    </row>
    <row r="11" spans="2:24" hidden="1" x14ac:dyDescent="0.3">
      <c r="B11" s="70" t="s">
        <v>313</v>
      </c>
      <c r="C11" s="72" t="e">
        <f ca="1">IF(D11="","중기목록표",MID(D11,FIND("]",D11)+1,LEN(D11)))</f>
        <v>#REF!</v>
      </c>
      <c r="D11" s="72" t="e">
        <f ca="1">CELL("filename",#REF!)</f>
        <v>#REF!</v>
      </c>
      <c r="E11" s="76"/>
      <c r="F11" s="77" t="e">
        <f ca="1">HYPERLINK("#"&amp;C11&amp;"!"&amp;ADDRESS(3,COLUMN(#REF!),1),COLUMN(#REF!))</f>
        <v>#REF!</v>
      </c>
      <c r="G11" s="77" t="e">
        <f ca="1">HYPERLINK("#"&amp;C11&amp;"!"&amp;ADDRESS(3,COLUMN(#REF!),1),COLUMN(#REF!))</f>
        <v>#REF!</v>
      </c>
      <c r="H11" s="76"/>
      <c r="I11" s="77" t="e">
        <f ca="1">HYPERLINK("#"&amp;C11&amp;"!"&amp;ADDRESS(3,COLUMN(#REF!),1),COLUMN(#REF!))</f>
        <v>#REF!</v>
      </c>
      <c r="J11" s="77" t="e">
        <f ca="1">HYPERLINK("#"&amp;C11&amp;"!A"&amp;ROW(#REF!),ROW(#REF!))</f>
        <v>#REF!</v>
      </c>
      <c r="K11" s="77" t="e">
        <f ca="1">HYPERLINK("#"&amp;C11&amp;"!A"&amp;ROW(#REF!),ROW(#REF!))</f>
        <v>#REF!</v>
      </c>
      <c r="L11" s="77" t="e">
        <f ca="1">HYPERLINK("#"&amp;C11&amp;"!"&amp;ADDRESS(3,COLUMN(#REF!),1),COLUMN(#REF!))</f>
        <v>#REF!</v>
      </c>
      <c r="M11" s="76"/>
      <c r="N11" s="77" t="e">
        <f ca="1">HYPERLINK("#"&amp;C11&amp;"!"&amp;ADDRESS(3,COLUMN(#REF!),1),COLUMN(#REF!))</f>
        <v>#REF!</v>
      </c>
      <c r="O11" s="76"/>
      <c r="P11" s="77" t="e">
        <f ca="1">HYPERLINK("#"&amp;C11&amp;"!"&amp;ADDRESS(3,COLUMN(#REF!),1),COLUMN(#REF!))</f>
        <v>#REF!</v>
      </c>
      <c r="Q11" s="76"/>
      <c r="R11" s="77" t="e">
        <f ca="1">HYPERLINK("#"&amp;C11&amp;"!"&amp;ADDRESS(3,COLUMN(#REF!),1),COLUMN(#REF!))</f>
        <v>#REF!</v>
      </c>
      <c r="S11" s="76"/>
      <c r="T11" s="76"/>
      <c r="U11" s="76"/>
      <c r="V11" s="76"/>
      <c r="W11" s="76"/>
      <c r="X11" s="77" t="e">
        <f ca="1">HYPERLINK("#"&amp;C11&amp;"!"&amp;ADDRESS(3,COLUMN(#REF!),1),COLUMN(#REF!))</f>
        <v>#REF!</v>
      </c>
    </row>
    <row r="12" spans="2:24" hidden="1" x14ac:dyDescent="0.3">
      <c r="B12" s="70" t="s">
        <v>314</v>
      </c>
      <c r="C12" s="70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spans="2:24" hidden="1" x14ac:dyDescent="0.3">
      <c r="B13" s="70" t="s">
        <v>315</v>
      </c>
      <c r="C13" s="72" t="e">
        <f ca="1">IF(D13="","일위대가목록표",MID(D13,FIND("]",D13)+1,LEN(D13)))</f>
        <v>#REF!</v>
      </c>
      <c r="D13" s="72" t="e">
        <f ca="1">CELL("filename",#REF!)</f>
        <v>#REF!</v>
      </c>
      <c r="E13" s="76"/>
      <c r="F13" s="77" t="e">
        <f ca="1">HYPERLINK("#"&amp;C13&amp;"!"&amp;ADDRESS(3,COLUMN(#REF!),1),COLUMN(#REF!))</f>
        <v>#REF!</v>
      </c>
      <c r="G13" s="77" t="e">
        <f ca="1">HYPERLINK("#"&amp;C13&amp;"!"&amp;ADDRESS(3,COLUMN(#REF!),1),COLUMN(#REF!))</f>
        <v>#REF!</v>
      </c>
      <c r="H13" s="76"/>
      <c r="I13" s="77" t="e">
        <f ca="1">HYPERLINK("#"&amp;C13&amp;"!"&amp;ADDRESS(3,COLUMN(#REF!),1),COLUMN(#REF!))</f>
        <v>#REF!</v>
      </c>
      <c r="J13" s="77" t="e">
        <f ca="1">HYPERLINK("#"&amp;C13&amp;"!A"&amp;ROW(#REF!),ROW(#REF!))</f>
        <v>#REF!</v>
      </c>
      <c r="K13" s="77" t="e">
        <f ca="1">HYPERLINK("#"&amp;C13&amp;"!A"&amp;ROW(#REF!),ROW(#REF!))</f>
        <v>#REF!</v>
      </c>
      <c r="L13" s="77" t="e">
        <f ca="1">HYPERLINK("#"&amp;C13&amp;"!"&amp;ADDRESS(3,COLUMN(#REF!),1),COLUMN(#REF!))</f>
        <v>#REF!</v>
      </c>
      <c r="M13" s="76"/>
      <c r="N13" s="77" t="e">
        <f ca="1">HYPERLINK("#"&amp;C13&amp;"!"&amp;ADDRESS(3,COLUMN(#REF!),1),COLUMN(#REF!))</f>
        <v>#REF!</v>
      </c>
      <c r="O13" s="76"/>
      <c r="P13" s="77" t="e">
        <f ca="1">HYPERLINK("#"&amp;C13&amp;"!"&amp;ADDRESS(3,COLUMN(#REF!),1),COLUMN(#REF!))</f>
        <v>#REF!</v>
      </c>
      <c r="Q13" s="76"/>
      <c r="R13" s="77" t="e">
        <f ca="1">HYPERLINK("#"&amp;C13&amp;"!"&amp;ADDRESS(3,COLUMN(#REF!),1),COLUMN(#REF!))</f>
        <v>#REF!</v>
      </c>
      <c r="S13" s="76"/>
      <c r="T13" s="76"/>
      <c r="U13" s="76"/>
      <c r="V13" s="76"/>
      <c r="W13" s="76"/>
      <c r="X13" s="77" t="e">
        <f ca="1">HYPERLINK("#"&amp;C13&amp;"!"&amp;ADDRESS(3,COLUMN(#REF!),1),COLUMN(#REF!))</f>
        <v>#REF!</v>
      </c>
    </row>
    <row r="14" spans="2:24" hidden="1" x14ac:dyDescent="0.3">
      <c r="B14" s="70" t="s">
        <v>316</v>
      </c>
      <c r="C14" s="72" t="e">
        <f ca="1">IF(D14="","단가산출근거목록표",MID(D14,FIND("]",D14)+1,LEN(D14)))</f>
        <v>#REF!</v>
      </c>
      <c r="D14" s="72" t="e">
        <f ca="1">CELL("filename",#REF!)</f>
        <v>#REF!</v>
      </c>
      <c r="E14" s="76"/>
      <c r="F14" s="77" t="e">
        <f ca="1">HYPERLINK("#"&amp;C14&amp;"!"&amp;ADDRESS(3,COLUMN(#REF!),1),COLUMN(#REF!))</f>
        <v>#REF!</v>
      </c>
      <c r="G14" s="77" t="e">
        <f ca="1">HYPERLINK("#"&amp;C14&amp;"!"&amp;ADDRESS(3,COLUMN(#REF!),1),COLUMN(#REF!))</f>
        <v>#REF!</v>
      </c>
      <c r="H14" s="76"/>
      <c r="I14" s="77" t="e">
        <f ca="1">HYPERLINK("#"&amp;C14&amp;"!"&amp;ADDRESS(3,COLUMN(#REF!),1),COLUMN(#REF!))</f>
        <v>#REF!</v>
      </c>
      <c r="J14" s="77" t="e">
        <f ca="1">HYPERLINK("#"&amp;C14&amp;"!A"&amp;ROW(#REF!),ROW(#REF!))</f>
        <v>#REF!</v>
      </c>
      <c r="K14" s="77" t="e">
        <f ca="1">HYPERLINK("#"&amp;C14&amp;"!A"&amp;ROW(#REF!),ROW(#REF!))</f>
        <v>#REF!</v>
      </c>
      <c r="L14" s="77" t="e">
        <f ca="1">HYPERLINK("#"&amp;C14&amp;"!"&amp;ADDRESS(3,COLUMN(#REF!),1),COLUMN(#REF!))</f>
        <v>#REF!</v>
      </c>
      <c r="M14" s="76"/>
      <c r="N14" s="77" t="e">
        <f ca="1">HYPERLINK("#"&amp;C14&amp;"!"&amp;ADDRESS(3,COLUMN(#REF!),1),COLUMN(#REF!))</f>
        <v>#REF!</v>
      </c>
      <c r="O14" s="76"/>
      <c r="P14" s="77" t="e">
        <f ca="1">HYPERLINK("#"&amp;C14&amp;"!"&amp;ADDRESS(3,COLUMN(#REF!),1),COLUMN(#REF!))</f>
        <v>#REF!</v>
      </c>
      <c r="Q14" s="76"/>
      <c r="R14" s="77" t="e">
        <f ca="1">HYPERLINK("#"&amp;C14&amp;"!"&amp;ADDRESS(3,COLUMN(#REF!),1),COLUMN(#REF!))</f>
        <v>#REF!</v>
      </c>
      <c r="S14" s="76"/>
      <c r="T14" s="76"/>
      <c r="U14" s="76"/>
      <c r="V14" s="76"/>
      <c r="W14" s="76"/>
      <c r="X14" s="77" t="e">
        <f ca="1">HYPERLINK("#"&amp;C14&amp;"!"&amp;ADDRESS(3,COLUMN(#REF!),1),COLUMN(#REF!))</f>
        <v>#REF!</v>
      </c>
    </row>
    <row r="15" spans="2:24" hidden="1" x14ac:dyDescent="0.3">
      <c r="B15" s="70" t="s">
        <v>317</v>
      </c>
      <c r="C15" s="72" t="e">
        <f ca="1">IF(D15="","자재단가대비표",MID(D15,FIND("]",D15)+1,LEN(D15)))</f>
        <v>#REF!</v>
      </c>
      <c r="D15" s="72" t="e">
        <f ca="1">CELL("filename",#REF!)</f>
        <v>#REF!</v>
      </c>
      <c r="E15" s="76"/>
      <c r="F15" s="77" t="e">
        <f ca="1">HYPERLINK("#"&amp;C15&amp;"!"&amp;ADDRESS(4,COLUMN(#REF!),1),COLUMN(#REF!))</f>
        <v>#REF!</v>
      </c>
      <c r="G15" s="77" t="e">
        <f ca="1">HYPERLINK("#"&amp;C15&amp;"!"&amp;ADDRESS(4,COLUMN(#REF!),1),COLUMN(#REF!))</f>
        <v>#REF!</v>
      </c>
      <c r="H15" s="76"/>
      <c r="I15" s="77" t="e">
        <f ca="1">HYPERLINK("#"&amp;C15&amp;"!"&amp;ADDRESS(4,COLUMN(#REF!),1),COLUMN(#REF!))</f>
        <v>#REF!</v>
      </c>
      <c r="J15" s="77" t="e">
        <f ca="1">HYPERLINK("#"&amp;C15&amp;"!A"&amp;ROW(#REF!),ROW(#REF!))</f>
        <v>#REF!</v>
      </c>
      <c r="K15" s="77" t="e">
        <f ca="1">HYPERLINK("#"&amp;C15&amp;"!A"&amp;ROW(#REF!),ROW(#REF!))</f>
        <v>#REF!</v>
      </c>
      <c r="L15" s="77" t="e">
        <f ca="1">HYPERLINK("#"&amp;C15&amp;"!"&amp;ADDRESS(4,COLUMN(#REF!),1),COLUMN(#REF!))</f>
        <v>#REF!</v>
      </c>
      <c r="M15" s="77" t="e">
        <f ca="1">HYPERLINK("#"&amp;C15&amp;"!"&amp;ADDRESS(4,COLUMN(#REF!),1),COLUMN(#REF!))</f>
        <v>#REF!</v>
      </c>
      <c r="N15" s="77" t="e">
        <f ca="1">HYPERLINK("#"&amp;C15&amp;"!"&amp;ADDRESS(4,COLUMN(#REF!),1),COLUMN(#REF!))</f>
        <v>#REF!</v>
      </c>
      <c r="O15" s="77" t="e">
        <f ca="1">HYPERLINK("#"&amp;C15&amp;"!"&amp;ADDRESS(4,COLUMN(#REF!),1),COLUMN(#REF!))</f>
        <v>#REF!</v>
      </c>
      <c r="P15" s="77" t="e">
        <f ca="1">HYPERLINK("#"&amp;C15&amp;"!"&amp;ADDRESS(4,COLUMN(#REF!),1),COLUMN(#REF!))</f>
        <v>#REF!</v>
      </c>
      <c r="Q15" s="77" t="e">
        <f ca="1">HYPERLINK("#"&amp;C15&amp;"!"&amp;ADDRESS(4,COLUMN(#REF!),1),COLUMN(#REF!))</f>
        <v>#REF!</v>
      </c>
      <c r="R15" s="77" t="e">
        <f ca="1">HYPERLINK("#"&amp;C15&amp;"!"&amp;ADDRESS(4,COLUMN(#REF!),1),COLUMN(#REF!))</f>
        <v>#REF!</v>
      </c>
      <c r="S15" s="77" t="e">
        <f ca="1">HYPERLINK("#"&amp;C15&amp;"!"&amp;ADDRESS(4,COLUMN(#REF!),1),COLUMN(#REF!))</f>
        <v>#REF!</v>
      </c>
      <c r="T15" s="77" t="e">
        <f ca="1">HYPERLINK("#"&amp;C15&amp;"!"&amp;ADDRESS(4,COLUMN(#REF!),1),COLUMN(#REF!))</f>
        <v>#REF!</v>
      </c>
      <c r="U15" s="77" t="e">
        <f ca="1">HYPERLINK("#"&amp;C15&amp;"!"&amp;ADDRESS(4,COLUMN(#REF!),1),COLUMN(#REF!))</f>
        <v>#REF!</v>
      </c>
      <c r="V15" s="77" t="e">
        <f ca="1">HYPERLINK("#"&amp;C15&amp;"!"&amp;ADDRESS(4,COLUMN(#REF!),1),COLUMN(#REF!))</f>
        <v>#REF!</v>
      </c>
      <c r="W15" s="77" t="e">
        <f ca="1">HYPERLINK("#"&amp;C15&amp;"!"&amp;ADDRESS(4,COLUMN(#REF!),1),COLUMN(#REF!))</f>
        <v>#REF!</v>
      </c>
      <c r="X15" s="77" t="e">
        <f ca="1">HYPERLINK("#"&amp;C15&amp;"!"&amp;ADDRESS(4,COLUMN(#REF!),1),COLUMN(#REF!))</f>
        <v>#REF!</v>
      </c>
    </row>
    <row r="16" spans="2:24" hidden="1" x14ac:dyDescent="0.3">
      <c r="B16" s="70" t="s">
        <v>318</v>
      </c>
      <c r="C16" s="72" t="str">
        <f ca="1">IF(D16="","설계내역서",MID(D16,FIND("]",D16)+1,LEN(D16)))</f>
        <v>설계내역서</v>
      </c>
      <c r="D16" s="72" t="str">
        <f ca="1">CELL("filename",설계내역서!A1)</f>
        <v>C:\Users\user\Desktop\김지은\★ 외장하드_김지은 선생님 (인수인계 자료)\1. 2026년 계약\경영지원팀\0225 경기문화재단 ESG 시설환경 개선 공사(입찰)\1. 계약의뢰\download\[공내역서(ESG시설환경개선).xlsx]설계내역서</v>
      </c>
      <c r="E16" s="77">
        <f ca="1">HYPERLINK("#"&amp;C16&amp;"!"&amp;ADDRESS(4,COLUMN(설계내역서!A1),1),COLUMN(설계내역서!A1))</f>
        <v>1</v>
      </c>
      <c r="F16" s="77">
        <f ca="1">HYPERLINK("#"&amp;C16&amp;"!"&amp;ADDRESS(4,COLUMN(설계내역서!B1),1),COLUMN(설계내역서!B1))</f>
        <v>2</v>
      </c>
      <c r="G16" s="77">
        <f ca="1">HYPERLINK("#"&amp;C16&amp;"!"&amp;ADDRESS(4,COLUMN(설계내역서!C1),1),COLUMN(설계내역서!C1))</f>
        <v>3</v>
      </c>
      <c r="H16" s="77">
        <f ca="1">HYPERLINK("#"&amp;C16&amp;"!"&amp;ADDRESS(4,COLUMN(설계내역서!D1),1),COLUMN(설계내역서!D1))</f>
        <v>4</v>
      </c>
      <c r="I16" s="77">
        <f ca="1">HYPERLINK("#"&amp;C16&amp;"!"&amp;ADDRESS(4,COLUMN(설계내역서!E1),1),COLUMN(설계내역서!E1))</f>
        <v>5</v>
      </c>
      <c r="J16" s="77">
        <f ca="1">HYPERLINK("#"&amp;C16&amp;"!A"&amp;ROW(설계내역서!A5),ROW(설계내역서!A5))</f>
        <v>5</v>
      </c>
      <c r="K16" s="77">
        <f ca="1">HYPERLINK("#"&amp;C16&amp;"!A"&amp;ROW(설계내역서!A105),ROW(설계내역서!A105))</f>
        <v>105</v>
      </c>
      <c r="L16" s="77">
        <f ca="1">HYPERLINK("#"&amp;C16&amp;"!"&amp;ADDRESS(4,COLUMN(설계내역서!F1),1),COLUMN(설계내역서!F1))</f>
        <v>6</v>
      </c>
      <c r="M16" s="77">
        <f ca="1">HYPERLINK("#"&amp;C16&amp;"!"&amp;ADDRESS(4,COLUMN(설계내역서!G1),1),COLUMN(설계내역서!G1))</f>
        <v>7</v>
      </c>
      <c r="N16" s="77">
        <f ca="1">HYPERLINK("#"&amp;C16&amp;"!"&amp;ADDRESS(4,COLUMN(설계내역서!H1),1),COLUMN(설계내역서!H1))</f>
        <v>8</v>
      </c>
      <c r="O16" s="77">
        <f ca="1">HYPERLINK("#"&amp;C16&amp;"!"&amp;ADDRESS(4,COLUMN(설계내역서!I1),1),COLUMN(설계내역서!I1))</f>
        <v>9</v>
      </c>
      <c r="P16" s="77">
        <f ca="1">HYPERLINK("#"&amp;C16&amp;"!"&amp;ADDRESS(4,COLUMN(설계내역서!J1),1),COLUMN(설계내역서!J1))</f>
        <v>10</v>
      </c>
      <c r="Q16" s="77">
        <f ca="1">HYPERLINK("#"&amp;C16&amp;"!"&amp;ADDRESS(4,COLUMN(설계내역서!K1),1),COLUMN(설계내역서!K1))</f>
        <v>11</v>
      </c>
      <c r="R16" s="77">
        <f ca="1">HYPERLINK("#"&amp;C16&amp;"!"&amp;ADDRESS(4,COLUMN(설계내역서!L1),1),COLUMN(설계내역서!L1))</f>
        <v>12</v>
      </c>
      <c r="S16" s="77">
        <f ca="1">HYPERLINK("#"&amp;C16&amp;"!"&amp;ADDRESS(4,COLUMN(설계내역서!M1),1),COLUMN(설계내역서!M1))</f>
        <v>13</v>
      </c>
      <c r="T16" s="76"/>
      <c r="U16" s="76"/>
      <c r="V16" s="76"/>
      <c r="W16" s="76"/>
      <c r="X16" s="77">
        <f ca="1">HYPERLINK("#"&amp;C16&amp;"!"&amp;ADDRESS(4,COLUMN(설계내역서!O1),1),COLUMN(설계내역서!O1))</f>
        <v>15</v>
      </c>
    </row>
    <row r="17" spans="2:24" hidden="1" x14ac:dyDescent="0.3">
      <c r="B17" s="70" t="s">
        <v>319</v>
      </c>
      <c r="C17" s="72" t="str">
        <f ca="1">IF(D17="","총괄내역서",MID(D17,FIND("]",D17)+1,LEN(D17)))</f>
        <v>총괄내역서</v>
      </c>
      <c r="D17" s="72" t="str">
        <f ca="1">CELL("filename",총괄내역서!A1)</f>
        <v>C:\Users\user\Desktop\김지은\★ 외장하드_김지은 선생님 (인수인계 자료)\1. 2026년 계약\경영지원팀\0225 경기문화재단 ESG 시설환경 개선 공사(입찰)\1. 계약의뢰\download\[공내역서(ESG시설환경개선).xlsx]총괄내역서</v>
      </c>
      <c r="E17" s="77">
        <f ca="1">HYPERLINK("#"&amp;C17&amp;"!"&amp;ADDRESS(3,COLUMN(총괄내역서!A1),1),COLUMN(총괄내역서!A1))</f>
        <v>1</v>
      </c>
      <c r="F17" s="77">
        <f ca="1">HYPERLINK("#"&amp;C17&amp;"!"&amp;ADDRESS(3,COLUMN(총괄내역서!B1),1),COLUMN(총괄내역서!B1))</f>
        <v>2</v>
      </c>
      <c r="G17" s="77">
        <f ca="1">HYPERLINK("#"&amp;C17&amp;"!"&amp;ADDRESS(3,COLUMN(총괄내역서!C1),1),COLUMN(총괄내역서!C1))</f>
        <v>3</v>
      </c>
      <c r="H17" s="76"/>
      <c r="I17" s="77">
        <f ca="1">HYPERLINK("#"&amp;C17&amp;"!"&amp;ADDRESS(3,COLUMN(총괄내역서!E1),1),COLUMN(총괄내역서!E1))</f>
        <v>5</v>
      </c>
      <c r="J17" s="77">
        <f ca="1">HYPERLINK("#"&amp;C17&amp;"!A"&amp;ROW(총괄내역서!A4),ROW(총괄내역서!A4))</f>
        <v>4</v>
      </c>
      <c r="K17" s="77">
        <f ca="1">HYPERLINK("#"&amp;C17&amp;"!A"&amp;ROW(총괄내역서!A32),ROW(총괄내역서!A32))</f>
        <v>32</v>
      </c>
      <c r="L17" s="77">
        <f ca="1">HYPERLINK("#"&amp;C17&amp;"!"&amp;ADDRESS(3,COLUMN(총괄내역서!D1),1),COLUMN(총괄내역서!D1))</f>
        <v>4</v>
      </c>
      <c r="M17" s="77">
        <f ca="1">HYPERLINK("#"&amp;C17&amp;"!"&amp;ADDRESS(3,COLUMN(총괄내역서!I1),1),COLUMN(총괄내역서!I1))</f>
        <v>9</v>
      </c>
      <c r="N17" s="77">
        <f ca="1">HYPERLINK("#"&amp;C17&amp;"!"&amp;ADDRESS(3,COLUMN(총괄내역서!M1),1),COLUMN(총괄내역서!M1))</f>
        <v>13</v>
      </c>
      <c r="O17" s="77">
        <f ca="1">HYPERLINK("#"&amp;C17&amp;"!"&amp;ADDRESS(3,COLUMN(총괄내역서!N1),1),COLUMN(총괄내역서!N1))</f>
        <v>14</v>
      </c>
      <c r="P17" s="77">
        <f ca="1">HYPERLINK("#"&amp;C17&amp;"!"&amp;ADDRESS(3,COLUMN(총괄내역서!O1),1),COLUMN(총괄내역서!O1))</f>
        <v>15</v>
      </c>
      <c r="Q17" s="77">
        <f ca="1">HYPERLINK("#"&amp;C17&amp;"!"&amp;ADDRESS(3,COLUMN(총괄내역서!P1),1),COLUMN(총괄내역서!P1))</f>
        <v>16</v>
      </c>
      <c r="R17" s="76"/>
      <c r="S17" s="76"/>
      <c r="T17" s="76"/>
      <c r="U17" s="76"/>
      <c r="V17" s="76"/>
      <c r="W17" s="76"/>
      <c r="X17" s="77">
        <f ca="1">HYPERLINK("#"&amp;C17&amp;"!"&amp;ADDRESS(3,COLUMN(총괄내역서!H1),1),COLUMN(총괄내역서!H1))</f>
        <v>8</v>
      </c>
    </row>
    <row r="18" spans="2:24" hidden="1" x14ac:dyDescent="0.3">
      <c r="B18" s="70" t="s">
        <v>320</v>
      </c>
      <c r="C18" s="72" t="e">
        <f ca="1">IF(D18="","중기사용료",MID(D18,FIND("]",D18)+1,LEN(D18)))</f>
        <v>#REF!</v>
      </c>
      <c r="D18" s="72" t="e">
        <f ca="1">CELL("filename",#REF!)</f>
        <v>#REF!</v>
      </c>
      <c r="E18" s="76"/>
      <c r="F18" s="77" t="e">
        <f ca="1">HYPERLINK("#"&amp;C18&amp;"!"&amp;ADDRESS(4,COLUMN(#REF!),1),COLUMN(#REF!))</f>
        <v>#REF!</v>
      </c>
      <c r="G18" s="77" t="e">
        <f ca="1">HYPERLINK("#"&amp;C18&amp;"!"&amp;ADDRESS(4,COLUMN(#REF!),1),COLUMN(#REF!))</f>
        <v>#REF!</v>
      </c>
      <c r="H18" s="77" t="e">
        <f ca="1">HYPERLINK("#"&amp;C18&amp;"!"&amp;ADDRESS(4,COLUMN(#REF!),1),COLUMN(#REF!))</f>
        <v>#REF!</v>
      </c>
      <c r="I18" s="77" t="e">
        <f ca="1">HYPERLINK("#"&amp;C18&amp;"!"&amp;ADDRESS(4,COLUMN(#REF!),1),COLUMN(#REF!))</f>
        <v>#REF!</v>
      </c>
      <c r="J18" s="77" t="e">
        <f ca="1">HYPERLINK("#"&amp;C18&amp;"!A"&amp;ROW(#REF!),ROW(#REF!))</f>
        <v>#REF!</v>
      </c>
      <c r="K18" s="77" t="e">
        <f ca="1">HYPERLINK("#"&amp;C18&amp;"!A"&amp;ROW(#REF!),ROW(#REF!))</f>
        <v>#REF!</v>
      </c>
      <c r="L18" s="77" t="e">
        <f ca="1">HYPERLINK("#"&amp;C18&amp;"!"&amp;ADDRESS(4,COLUMN(#REF!),1),COLUMN(#REF!))</f>
        <v>#REF!</v>
      </c>
      <c r="M18" s="77" t="e">
        <f ca="1">HYPERLINK("#"&amp;C18&amp;"!"&amp;ADDRESS(4,COLUMN(#REF!),1),COLUMN(#REF!))</f>
        <v>#REF!</v>
      </c>
      <c r="N18" s="77" t="e">
        <f ca="1">HYPERLINK("#"&amp;C18&amp;"!"&amp;ADDRESS(4,COLUMN(#REF!),1),COLUMN(#REF!))</f>
        <v>#REF!</v>
      </c>
      <c r="O18" s="77" t="e">
        <f ca="1">HYPERLINK("#"&amp;C18&amp;"!"&amp;ADDRESS(4,COLUMN(#REF!),1),COLUMN(#REF!))</f>
        <v>#REF!</v>
      </c>
      <c r="P18" s="77" t="e">
        <f ca="1">HYPERLINK("#"&amp;C18&amp;"!"&amp;ADDRESS(4,COLUMN(#REF!),1),COLUMN(#REF!))</f>
        <v>#REF!</v>
      </c>
      <c r="Q18" s="77" t="e">
        <f ca="1">HYPERLINK("#"&amp;C18&amp;"!"&amp;ADDRESS(4,COLUMN(#REF!),1),COLUMN(#REF!))</f>
        <v>#REF!</v>
      </c>
      <c r="R18" s="77" t="e">
        <f ca="1">HYPERLINK("#"&amp;C18&amp;"!"&amp;ADDRESS(4,COLUMN(#REF!),1),COLUMN(#REF!))</f>
        <v>#REF!</v>
      </c>
      <c r="S18" s="77" t="e">
        <f ca="1">HYPERLINK("#"&amp;C18&amp;"!"&amp;ADDRESS(4,COLUMN(#REF!),1),COLUMN(#REF!))</f>
        <v>#REF!</v>
      </c>
      <c r="T18" s="76"/>
      <c r="U18" s="76"/>
      <c r="V18" s="76"/>
      <c r="W18" s="76"/>
      <c r="X18" s="77" t="e">
        <f ca="1">HYPERLINK("#"&amp;C18&amp;"!"&amp;ADDRESS(4,COLUMN(#REF!),1),COLUMN(#REF!))</f>
        <v>#REF!</v>
      </c>
    </row>
    <row r="19" spans="2:24" hidden="1" x14ac:dyDescent="0.3">
      <c r="B19" s="70" t="s">
        <v>321</v>
      </c>
      <c r="C19" s="72" t="e">
        <f ca="1">IF(D19="","일위대가표",MID(D19,FIND("]",D19)+1,LEN(D19)))</f>
        <v>#REF!</v>
      </c>
      <c r="D19" s="72" t="e">
        <f ca="1">CELL("filename",#REF!)</f>
        <v>#REF!</v>
      </c>
      <c r="E19" s="76"/>
      <c r="F19" s="77" t="e">
        <f ca="1">HYPERLINK("#"&amp;C19&amp;"!"&amp;ADDRESS(4,COLUMN(#REF!),1),COLUMN(#REF!))</f>
        <v>#REF!</v>
      </c>
      <c r="G19" s="77" t="e">
        <f ca="1">HYPERLINK("#"&amp;C19&amp;"!"&amp;ADDRESS(4,COLUMN(#REF!),1),COLUMN(#REF!))</f>
        <v>#REF!</v>
      </c>
      <c r="H19" s="77" t="e">
        <f ca="1">HYPERLINK("#"&amp;C19&amp;"!"&amp;ADDRESS(4,COLUMN(#REF!),1),COLUMN(#REF!))</f>
        <v>#REF!</v>
      </c>
      <c r="I19" s="77" t="e">
        <f ca="1">HYPERLINK("#"&amp;C19&amp;"!"&amp;ADDRESS(4,COLUMN(#REF!),1),COLUMN(#REF!))</f>
        <v>#REF!</v>
      </c>
      <c r="J19" s="77" t="e">
        <f ca="1">HYPERLINK("#"&amp;C19&amp;"!A"&amp;ROW(#REF!),ROW(#REF!))</f>
        <v>#REF!</v>
      </c>
      <c r="K19" s="77" t="e">
        <f ca="1">HYPERLINK("#"&amp;C19&amp;"!A"&amp;ROW(#REF!),ROW(#REF!))</f>
        <v>#REF!</v>
      </c>
      <c r="L19" s="77" t="e">
        <f ca="1">HYPERLINK("#"&amp;C19&amp;"!"&amp;ADDRESS(4,COLUMN(#REF!),1),COLUMN(#REF!))</f>
        <v>#REF!</v>
      </c>
      <c r="M19" s="77" t="e">
        <f ca="1">HYPERLINK("#"&amp;C19&amp;"!"&amp;ADDRESS(4,COLUMN(#REF!),1),COLUMN(#REF!))</f>
        <v>#REF!</v>
      </c>
      <c r="N19" s="77" t="e">
        <f ca="1">HYPERLINK("#"&amp;C19&amp;"!"&amp;ADDRESS(4,COLUMN(#REF!),1),COLUMN(#REF!))</f>
        <v>#REF!</v>
      </c>
      <c r="O19" s="77" t="e">
        <f ca="1">HYPERLINK("#"&amp;C19&amp;"!"&amp;ADDRESS(4,COLUMN(#REF!),1),COLUMN(#REF!))</f>
        <v>#REF!</v>
      </c>
      <c r="P19" s="77" t="e">
        <f ca="1">HYPERLINK("#"&amp;C19&amp;"!"&amp;ADDRESS(4,COLUMN(#REF!),1),COLUMN(#REF!))</f>
        <v>#REF!</v>
      </c>
      <c r="Q19" s="77" t="e">
        <f ca="1">HYPERLINK("#"&amp;C19&amp;"!"&amp;ADDRESS(4,COLUMN(#REF!),1),COLUMN(#REF!))</f>
        <v>#REF!</v>
      </c>
      <c r="R19" s="77" t="e">
        <f ca="1">HYPERLINK("#"&amp;C19&amp;"!"&amp;ADDRESS(4,COLUMN(#REF!),1),COLUMN(#REF!))</f>
        <v>#REF!</v>
      </c>
      <c r="S19" s="77" t="e">
        <f ca="1">HYPERLINK("#"&amp;C19&amp;"!"&amp;ADDRESS(4,COLUMN(#REF!),1),COLUMN(#REF!))</f>
        <v>#REF!</v>
      </c>
      <c r="T19" s="76"/>
      <c r="U19" s="76"/>
      <c r="V19" s="76"/>
      <c r="W19" s="76"/>
      <c r="X19" s="77" t="e">
        <f ca="1">HYPERLINK("#"&amp;C19&amp;"!"&amp;ADDRESS(4,COLUMN(#REF!),1),COLUMN(#REF!))</f>
        <v>#REF!</v>
      </c>
    </row>
    <row r="20" spans="2:24" hidden="1" x14ac:dyDescent="0.3">
      <c r="B20" s="70" t="s">
        <v>322</v>
      </c>
      <c r="C20" s="72" t="e">
        <f ca="1">IF(D20="","단가산출근거",MID(D20,FIND("]",D20)+1,LEN(D20)))</f>
        <v>#REF!</v>
      </c>
      <c r="D20" s="72" t="e">
        <f ca="1">CELL("filename",#REF!)</f>
        <v>#REF!</v>
      </c>
      <c r="E20" s="77" t="e">
        <f ca="1">HYPERLINK("#"&amp;C20&amp;"!"&amp;ADDRESS(4,COLUMN(#REF!),1),COLUMN(#REF!))</f>
        <v>#REF!</v>
      </c>
      <c r="F20" s="77" t="e">
        <f ca="1">HYPERLINK("#"&amp;C20&amp;"!"&amp;ADDRESS(4,COLUMN(#REF!),1),COLUMN(#REF!))</f>
        <v>#REF!</v>
      </c>
      <c r="G20" s="76"/>
      <c r="H20" s="76"/>
      <c r="I20" s="76"/>
      <c r="J20" s="77" t="e">
        <f ca="1">HYPERLINK("#"&amp;C20&amp;"!A"&amp;ROW(#REF!),ROW(#REF!))</f>
        <v>#REF!</v>
      </c>
      <c r="K20" s="77" t="e">
        <f ca="1">HYPERLINK("#"&amp;C20&amp;"!A"&amp;ROW(#REF!),ROW(#REF!))</f>
        <v>#REF!</v>
      </c>
      <c r="L20" s="77" t="e">
        <f ca="1">HYPERLINK("#"&amp;C20&amp;"!"&amp;ADDRESS(4,COLUMN(#REF!),1),COLUMN(#REF!))</f>
        <v>#REF!</v>
      </c>
      <c r="M20" s="76"/>
      <c r="N20" s="77" t="e">
        <f ca="1">HYPERLINK("#"&amp;C20&amp;"!"&amp;ADDRESS(4,COLUMN(#REF!),1),COLUMN(#REF!))</f>
        <v>#REF!</v>
      </c>
      <c r="O20" s="76"/>
      <c r="P20" s="77" t="e">
        <f ca="1">HYPERLINK("#"&amp;C20&amp;"!"&amp;ADDRESS(4,COLUMN(#REF!),1),COLUMN(#REF!))</f>
        <v>#REF!</v>
      </c>
      <c r="Q20" s="76"/>
      <c r="R20" s="77" t="e">
        <f ca="1">HYPERLINK("#"&amp;C20&amp;"!"&amp;ADDRESS(4,COLUMN(#REF!),1),COLUMN(#REF!))</f>
        <v>#REF!</v>
      </c>
      <c r="S20" s="76"/>
      <c r="T20" s="76"/>
      <c r="U20" s="76"/>
      <c r="V20" s="76"/>
      <c r="W20" s="76"/>
      <c r="X20" s="77" t="e">
        <f ca="1">HYPERLINK("#"&amp;C20&amp;"!"&amp;ADDRESS(4,COLUMN(#REF!),1),COLUMN(#REF!))</f>
        <v>#REF!</v>
      </c>
    </row>
    <row r="21" spans="2:24" hidden="1" x14ac:dyDescent="0.3">
      <c r="B21" s="70" t="s">
        <v>323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spans="2:24" hidden="1" x14ac:dyDescent="0.3">
      <c r="B22" s="70" t="s">
        <v>324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2:24" hidden="1" x14ac:dyDescent="0.3">
      <c r="B23" s="70" t="s">
        <v>325</v>
      </c>
      <c r="C23" s="70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2:24" hidden="1" x14ac:dyDescent="0.3">
      <c r="B24" s="68" t="s">
        <v>326</v>
      </c>
      <c r="D24" s="75">
        <f>ROW(C33)</f>
        <v>33</v>
      </c>
    </row>
    <row r="25" spans="2:24" hidden="1" x14ac:dyDescent="0.3">
      <c r="B25" s="70" t="s">
        <v>327</v>
      </c>
      <c r="C25" s="70" t="s">
        <v>328</v>
      </c>
    </row>
    <row r="26" spans="2:24" hidden="1" x14ac:dyDescent="0.3">
      <c r="B26" s="70" t="s">
        <v>329</v>
      </c>
      <c r="C26" s="70" t="s">
        <v>157</v>
      </c>
    </row>
    <row r="27" spans="2:24" hidden="1" x14ac:dyDescent="0.3">
      <c r="B27" s="70" t="s">
        <v>330</v>
      </c>
      <c r="C27" s="70" t="s">
        <v>331</v>
      </c>
    </row>
    <row r="28" spans="2:24" hidden="1" x14ac:dyDescent="0.3">
      <c r="B28" s="70" t="s">
        <v>332</v>
      </c>
      <c r="C28" s="70" t="s">
        <v>331</v>
      </c>
    </row>
    <row r="29" spans="2:24" hidden="1" x14ac:dyDescent="0.3">
      <c r="B29" s="70" t="s">
        <v>333</v>
      </c>
      <c r="C29" s="70" t="s">
        <v>331</v>
      </c>
    </row>
    <row r="30" spans="2:24" hidden="1" x14ac:dyDescent="0.3">
      <c r="B30" s="70" t="s">
        <v>334</v>
      </c>
      <c r="C30" s="73" t="s">
        <v>335</v>
      </c>
    </row>
    <row r="31" spans="2:24" hidden="1" x14ac:dyDescent="0.3">
      <c r="B31" s="70" t="s">
        <v>336</v>
      </c>
      <c r="C31" s="70" t="s">
        <v>114</v>
      </c>
    </row>
    <row r="32" spans="2:24" hidden="1" x14ac:dyDescent="0.3">
      <c r="B32" s="70" t="s">
        <v>337</v>
      </c>
      <c r="C32" s="70" t="s">
        <v>115</v>
      </c>
    </row>
    <row r="33" spans="2:10" hidden="1" x14ac:dyDescent="0.3">
      <c r="B33" s="68" t="s">
        <v>338</v>
      </c>
      <c r="D33" s="75">
        <f>ROW(C52)</f>
        <v>52</v>
      </c>
    </row>
    <row r="34" spans="2:10" hidden="1" x14ac:dyDescent="0.3">
      <c r="B34" s="70" t="s">
        <v>339</v>
      </c>
      <c r="C34" s="70" t="s">
        <v>114</v>
      </c>
      <c r="D34" s="70" t="s">
        <v>114</v>
      </c>
      <c r="E34" s="70" t="s">
        <v>331</v>
      </c>
      <c r="F34" s="70" t="s">
        <v>331</v>
      </c>
      <c r="G34" s="70" t="s">
        <v>331</v>
      </c>
      <c r="H34" s="70" t="s">
        <v>331</v>
      </c>
    </row>
    <row r="35" spans="2:10" hidden="1" x14ac:dyDescent="0.3">
      <c r="B35" s="70" t="s">
        <v>340</v>
      </c>
      <c r="C35" s="74" t="e">
        <f>#REF!</f>
        <v>#REF!</v>
      </c>
      <c r="D35" s="74" t="e">
        <f>#REF!</f>
        <v>#REF!</v>
      </c>
      <c r="E35" s="74" t="e">
        <f>#REF!</f>
        <v>#REF!</v>
      </c>
      <c r="F35" s="74" t="e">
        <f>#REF!</f>
        <v>#REF!</v>
      </c>
      <c r="G35" s="74" t="e">
        <f>#REF!</f>
        <v>#REF!</v>
      </c>
      <c r="H35" s="74" t="e">
        <f>#REF!</f>
        <v>#REF!</v>
      </c>
      <c r="I35" s="74" t="e">
        <f>#REF!</f>
        <v>#REF!</v>
      </c>
      <c r="J35" s="74" t="e">
        <f>#REF!</f>
        <v>#REF!</v>
      </c>
    </row>
    <row r="36" spans="2:10" hidden="1" x14ac:dyDescent="0.3">
      <c r="B36" s="70" t="s">
        <v>342</v>
      </c>
      <c r="C36" s="73" t="s">
        <v>335</v>
      </c>
    </row>
    <row r="37" spans="2:10" hidden="1" x14ac:dyDescent="0.3">
      <c r="B37" s="70" t="s">
        <v>341</v>
      </c>
      <c r="C37" s="70" t="s">
        <v>343</v>
      </c>
      <c r="D37" s="70"/>
      <c r="E37" s="70"/>
      <c r="F37" s="70" t="s">
        <v>344</v>
      </c>
      <c r="G37" s="70" t="s">
        <v>345</v>
      </c>
      <c r="H37" s="70" t="s">
        <v>346</v>
      </c>
    </row>
    <row r="38" spans="2:10" hidden="1" x14ac:dyDescent="0.3">
      <c r="B38" s="70" t="s">
        <v>347</v>
      </c>
      <c r="C38" s="70" t="s">
        <v>348</v>
      </c>
      <c r="D38" s="70"/>
      <c r="E38" s="70"/>
      <c r="F38" s="70"/>
      <c r="G38" s="70"/>
      <c r="H38" s="70"/>
    </row>
    <row r="39" spans="2:10" hidden="1" x14ac:dyDescent="0.3">
      <c r="B39" s="70" t="s">
        <v>349</v>
      </c>
      <c r="C39" s="70" t="s">
        <v>114</v>
      </c>
    </row>
    <row r="40" spans="2:10" hidden="1" x14ac:dyDescent="0.3">
      <c r="B40" s="70" t="s">
        <v>350</v>
      </c>
      <c r="C40" s="70" t="s">
        <v>114</v>
      </c>
    </row>
    <row r="41" spans="2:10" hidden="1" x14ac:dyDescent="0.3">
      <c r="B41" s="70" t="s">
        <v>351</v>
      </c>
      <c r="C41" s="70" t="s">
        <v>331</v>
      </c>
    </row>
    <row r="42" spans="2:10" hidden="1" x14ac:dyDescent="0.3">
      <c r="B42" s="70" t="s">
        <v>352</v>
      </c>
      <c r="C42" s="70" t="s">
        <v>114</v>
      </c>
    </row>
    <row r="43" spans="2:10" hidden="1" x14ac:dyDescent="0.3">
      <c r="B43" s="70" t="s">
        <v>353</v>
      </c>
      <c r="C43" s="70" t="s">
        <v>114</v>
      </c>
    </row>
    <row r="44" spans="2:10" hidden="1" x14ac:dyDescent="0.3">
      <c r="B44" s="70" t="s">
        <v>354</v>
      </c>
      <c r="C44" s="70" t="s">
        <v>115</v>
      </c>
    </row>
    <row r="45" spans="2:10" hidden="1" x14ac:dyDescent="0.3">
      <c r="B45" s="70" t="s">
        <v>355</v>
      </c>
      <c r="C45" s="73" t="s">
        <v>335</v>
      </c>
    </row>
    <row r="46" spans="2:10" hidden="1" x14ac:dyDescent="0.3">
      <c r="B46" s="70" t="s">
        <v>356</v>
      </c>
      <c r="C46" s="73" t="s">
        <v>335</v>
      </c>
    </row>
    <row r="47" spans="2:10" hidden="1" x14ac:dyDescent="0.3">
      <c r="B47" s="70" t="s">
        <v>357</v>
      </c>
      <c r="C47" s="73" t="s">
        <v>335</v>
      </c>
    </row>
    <row r="48" spans="2:10" hidden="1" x14ac:dyDescent="0.3">
      <c r="B48" s="70" t="s">
        <v>358</v>
      </c>
      <c r="C48" s="73" t="s">
        <v>335</v>
      </c>
    </row>
    <row r="49" spans="2:6" hidden="1" x14ac:dyDescent="0.3">
      <c r="B49" s="70" t="s">
        <v>359</v>
      </c>
      <c r="C49" s="70" t="s">
        <v>360</v>
      </c>
    </row>
    <row r="50" spans="2:6" hidden="1" x14ac:dyDescent="0.3">
      <c r="B50" s="70" t="s">
        <v>361</v>
      </c>
      <c r="C50" s="73" t="s">
        <v>362</v>
      </c>
    </row>
    <row r="51" spans="2:6" hidden="1" x14ac:dyDescent="0.3">
      <c r="B51" s="70" t="s">
        <v>363</v>
      </c>
      <c r="C51" s="70"/>
    </row>
    <row r="52" spans="2:6" hidden="1" x14ac:dyDescent="0.3">
      <c r="B52" s="68" t="s">
        <v>364</v>
      </c>
      <c r="D52" s="75">
        <f>ROW(C75)</f>
        <v>75</v>
      </c>
    </row>
    <row r="53" spans="2:6" hidden="1" x14ac:dyDescent="0.3">
      <c r="B53" s="70" t="s">
        <v>365</v>
      </c>
      <c r="C53" s="70" t="s">
        <v>6</v>
      </c>
      <c r="D53" s="70" t="s">
        <v>7</v>
      </c>
      <c r="E53" s="70" t="s">
        <v>8</v>
      </c>
      <c r="F53" s="70" t="s">
        <v>5</v>
      </c>
    </row>
    <row r="54" spans="2:6" hidden="1" x14ac:dyDescent="0.3">
      <c r="B54" s="70" t="s">
        <v>366</v>
      </c>
      <c r="C54" s="70" t="s">
        <v>367</v>
      </c>
    </row>
    <row r="55" spans="2:6" hidden="1" x14ac:dyDescent="0.3">
      <c r="B55" s="70" t="s">
        <v>368</v>
      </c>
      <c r="C55" s="70" t="s">
        <v>369</v>
      </c>
    </row>
    <row r="56" spans="2:6" hidden="1" x14ac:dyDescent="0.3">
      <c r="B56" s="70" t="s">
        <v>370</v>
      </c>
      <c r="C56" s="70" t="s">
        <v>139</v>
      </c>
      <c r="D56" s="70" t="s">
        <v>146</v>
      </c>
    </row>
    <row r="57" spans="2:6" hidden="1" x14ac:dyDescent="0.3">
      <c r="B57" s="70" t="s">
        <v>371</v>
      </c>
      <c r="C57" s="70" t="s">
        <v>141</v>
      </c>
      <c r="D57" s="70" t="s">
        <v>147</v>
      </c>
    </row>
    <row r="58" spans="2:6" hidden="1" x14ac:dyDescent="0.3">
      <c r="B58" s="70" t="s">
        <v>372</v>
      </c>
      <c r="C58" s="70" t="s">
        <v>142</v>
      </c>
      <c r="D58" s="70" t="s">
        <v>148</v>
      </c>
    </row>
    <row r="59" spans="2:6" hidden="1" x14ac:dyDescent="0.3">
      <c r="B59" s="70" t="s">
        <v>373</v>
      </c>
      <c r="C59" s="70" t="s">
        <v>143</v>
      </c>
      <c r="D59" s="70" t="s">
        <v>149</v>
      </c>
    </row>
    <row r="60" spans="2:6" hidden="1" x14ac:dyDescent="0.3">
      <c r="B60" s="70" t="s">
        <v>374</v>
      </c>
      <c r="C60" s="70" t="s">
        <v>144</v>
      </c>
      <c r="D60" s="70" t="s">
        <v>150</v>
      </c>
    </row>
    <row r="61" spans="2:6" hidden="1" x14ac:dyDescent="0.3">
      <c r="B61" s="70" t="s">
        <v>375</v>
      </c>
      <c r="C61" s="70" t="s">
        <v>145</v>
      </c>
    </row>
    <row r="62" spans="2:6" hidden="1" x14ac:dyDescent="0.3">
      <c r="B62" s="70" t="s">
        <v>376</v>
      </c>
      <c r="C62" s="70" t="s">
        <v>377</v>
      </c>
    </row>
    <row r="63" spans="2:6" hidden="1" x14ac:dyDescent="0.3">
      <c r="B63" s="70" t="s">
        <v>378</v>
      </c>
      <c r="C63" s="70" t="s">
        <v>1</v>
      </c>
    </row>
    <row r="64" spans="2:6" hidden="1" x14ac:dyDescent="0.3">
      <c r="B64" s="70" t="s">
        <v>379</v>
      </c>
      <c r="C64" s="70" t="s">
        <v>380</v>
      </c>
    </row>
    <row r="65" spans="2:4" hidden="1" x14ac:dyDescent="0.3">
      <c r="B65" s="70" t="s">
        <v>381</v>
      </c>
      <c r="C65" s="70" t="s">
        <v>382</v>
      </c>
    </row>
    <row r="66" spans="2:4" hidden="1" x14ac:dyDescent="0.3">
      <c r="B66" s="70" t="s">
        <v>383</v>
      </c>
      <c r="C66" s="70" t="s">
        <v>152</v>
      </c>
    </row>
    <row r="67" spans="2:4" hidden="1" x14ac:dyDescent="0.3">
      <c r="B67" s="70" t="s">
        <v>384</v>
      </c>
      <c r="C67" s="70" t="s">
        <v>2</v>
      </c>
    </row>
    <row r="68" spans="2:4" hidden="1" x14ac:dyDescent="0.3">
      <c r="B68" s="70" t="s">
        <v>385</v>
      </c>
      <c r="C68" s="70" t="s">
        <v>3</v>
      </c>
    </row>
    <row r="69" spans="2:4" hidden="1" x14ac:dyDescent="0.3">
      <c r="B69" s="70" t="s">
        <v>386</v>
      </c>
      <c r="C69" s="70" t="s">
        <v>153</v>
      </c>
    </row>
    <row r="70" spans="2:4" hidden="1" x14ac:dyDescent="0.3">
      <c r="B70" s="70" t="s">
        <v>387</v>
      </c>
      <c r="C70" s="70" t="s">
        <v>4</v>
      </c>
    </row>
    <row r="71" spans="2:4" hidden="1" x14ac:dyDescent="0.3">
      <c r="B71" s="70" t="s">
        <v>388</v>
      </c>
      <c r="C71" s="70" t="s">
        <v>117</v>
      </c>
    </row>
    <row r="72" spans="2:4" hidden="1" x14ac:dyDescent="0.3">
      <c r="B72" s="70" t="s">
        <v>389</v>
      </c>
      <c r="C72" s="70" t="s">
        <v>140</v>
      </c>
    </row>
    <row r="73" spans="2:4" hidden="1" x14ac:dyDescent="0.3">
      <c r="B73" s="70" t="s">
        <v>390</v>
      </c>
      <c r="C73" s="70" t="s">
        <v>154</v>
      </c>
    </row>
    <row r="74" spans="2:4" hidden="1" x14ac:dyDescent="0.3">
      <c r="B74" s="70" t="s">
        <v>391</v>
      </c>
      <c r="C74" s="70" t="s">
        <v>9</v>
      </c>
    </row>
    <row r="75" spans="2:4" hidden="1" x14ac:dyDescent="0.3">
      <c r="B75" s="68" t="s">
        <v>392</v>
      </c>
      <c r="D75" s="75">
        <f>ROW(C79)</f>
        <v>79</v>
      </c>
    </row>
    <row r="76" spans="2:4" hidden="1" x14ac:dyDescent="0.3">
      <c r="B76" s="70" t="s">
        <v>393</v>
      </c>
      <c r="C76" s="70" t="s">
        <v>394</v>
      </c>
    </row>
    <row r="77" spans="2:4" hidden="1" x14ac:dyDescent="0.3">
      <c r="B77" s="70" t="s">
        <v>395</v>
      </c>
      <c r="C77" s="70" t="s">
        <v>396</v>
      </c>
    </row>
    <row r="78" spans="2:4" hidden="1" x14ac:dyDescent="0.3">
      <c r="B78" s="70" t="s">
        <v>397</v>
      </c>
      <c r="C78" s="70" t="s">
        <v>398</v>
      </c>
    </row>
    <row r="79" spans="2:4" hidden="1" x14ac:dyDescent="0.3">
      <c r="B79" s="68" t="s">
        <v>399</v>
      </c>
    </row>
    <row r="80" spans="2:4" hidden="1" x14ac:dyDescent="0.3"/>
  </sheetData>
  <sheetProtection algorithmName="SHA-512" hashValue="63TAwiikjEDNn1UDRCL8Hm9oDIL/dKqAZkFimhHJ+rEqWmSbqoxWIkIqT2Bffbu+6oRl1hhD2LRn2zAJ+d404A==" saltValue="FPJf8HMtIByHP7KvjNVmUw==" spinCount="100000" sheet="1" objects="1" scenarios="1" selectLockedCells="1"/>
  <mergeCells count="1">
    <mergeCell ref="B2:X2"/>
  </mergeCells>
  <phoneticPr fontId="21" type="noConversion"/>
  <pageMargins left="0.59055118110236215" right="0.59055118110236215" top="0.78740157480314965" bottom="1" header="0" footer="0.5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7</vt:i4>
      </vt:variant>
    </vt:vector>
  </HeadingPairs>
  <TitlesOfParts>
    <vt:vector size="12" baseType="lpstr">
      <vt:lpstr>〓 목 차 〓</vt:lpstr>
      <vt:lpstr>※※안내※※</vt:lpstr>
      <vt:lpstr>공사원가계산서</vt:lpstr>
      <vt:lpstr>총괄내역서</vt:lpstr>
      <vt:lpstr>설계내역서</vt:lpstr>
      <vt:lpstr>'〓 목 차 〓'!Print_Area</vt:lpstr>
      <vt:lpstr>공사원가계산서!Print_Area</vt:lpstr>
      <vt:lpstr>설계내역서!Print_Area</vt:lpstr>
      <vt:lpstr>총괄내역서!Print_Area</vt:lpstr>
      <vt:lpstr>공사원가계산서!Print_Titles</vt:lpstr>
      <vt:lpstr>설계내역서!Print_Titles</vt:lpstr>
      <vt:lpstr>총괄내역서!Print_Titles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경기문화재단 ESG 시설환경 개선공사</dc:title>
  <dc:creator>user</dc:creator>
  <dc:description>STmate w26.02로 작성</dc:description>
  <cp:lastModifiedBy>user</cp:lastModifiedBy>
  <dcterms:created xsi:type="dcterms:W3CDTF">2026-02-12T05:50:30Z</dcterms:created>
  <dcterms:modified xsi:type="dcterms:W3CDTF">2026-03-04T05:04:46Z</dcterms:modified>
</cp:coreProperties>
</file>